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ublic Reporting\Releases by Year\2020\COVID-19 Elective Service Impact\"/>
    </mc:Choice>
  </mc:AlternateContent>
  <bookViews>
    <workbookView xWindow="0" yWindow="0" windowWidth="28800" windowHeight="12435" firstSheet="1" activeTab="1"/>
  </bookViews>
  <sheets>
    <sheet name="Overview and Results" sheetId="5" r:id="rId1"/>
    <sheet name="Methodology" sheetId="6" r:id="rId2"/>
    <sheet name="Services by Category" sheetId="7" r:id="rId3"/>
    <sheet name="Results not incl CAH" sheetId="2" r:id="rId4"/>
    <sheet name="Results Critical Access only" sheetId="3" r:id="rId5"/>
  </sheets>
  <definedNames>
    <definedName name="_xlnm.Print_Area" localSheetId="3">'Results not incl CAH'!$A$1:$J$139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3" l="1"/>
  <c r="G71" i="3"/>
  <c r="F71" i="3"/>
  <c r="E71" i="3"/>
  <c r="D71" i="3"/>
  <c r="C71" i="3"/>
  <c r="H36" i="3"/>
  <c r="G36" i="3"/>
  <c r="F36" i="3"/>
  <c r="E36" i="3"/>
  <c r="D36" i="3"/>
  <c r="C36" i="3"/>
  <c r="H63" i="3"/>
  <c r="G63" i="3"/>
  <c r="F63" i="3"/>
  <c r="E63" i="3"/>
  <c r="D63" i="3"/>
  <c r="C63" i="3"/>
  <c r="H28" i="3"/>
  <c r="G28" i="3"/>
  <c r="F28" i="3"/>
  <c r="E28" i="3"/>
  <c r="D28" i="3"/>
  <c r="C28" i="3"/>
  <c r="H54" i="3"/>
  <c r="G54" i="3"/>
  <c r="F54" i="3"/>
  <c r="E54" i="3"/>
  <c r="D54" i="3"/>
  <c r="C54" i="3"/>
  <c r="H46" i="3"/>
  <c r="G46" i="3"/>
  <c r="F46" i="3"/>
  <c r="E46" i="3"/>
  <c r="D46" i="3"/>
  <c r="C46" i="3"/>
  <c r="H19" i="3"/>
  <c r="G19" i="3"/>
  <c r="F19" i="3"/>
  <c r="E19" i="3"/>
  <c r="D19" i="3"/>
  <c r="C19" i="3"/>
  <c r="H11" i="3"/>
  <c r="G11" i="3"/>
  <c r="F11" i="3"/>
  <c r="E11" i="3"/>
  <c r="D11" i="3"/>
  <c r="C11" i="3"/>
  <c r="G36" i="2"/>
  <c r="F36" i="2"/>
  <c r="E36" i="2"/>
  <c r="D36" i="2"/>
  <c r="C36" i="2"/>
  <c r="H36" i="2"/>
  <c r="H47" i="2"/>
  <c r="G47" i="2"/>
  <c r="F47" i="2"/>
  <c r="E47" i="2"/>
  <c r="D47" i="2"/>
  <c r="C47" i="2"/>
  <c r="H116" i="2"/>
  <c r="G116" i="2"/>
  <c r="F116" i="2"/>
  <c r="E116" i="2"/>
  <c r="D116" i="2"/>
  <c r="C116" i="2"/>
  <c r="H24" i="2"/>
  <c r="G24" i="2"/>
  <c r="F24" i="2"/>
  <c r="E24" i="2"/>
  <c r="D24" i="2"/>
  <c r="C24" i="2"/>
  <c r="H139" i="2"/>
  <c r="G139" i="2"/>
  <c r="F139" i="2"/>
  <c r="E139" i="2"/>
  <c r="D139" i="2"/>
  <c r="C139" i="2"/>
  <c r="H128" i="2"/>
  <c r="G128" i="2"/>
  <c r="F128" i="2"/>
  <c r="E128" i="2"/>
  <c r="D128" i="2"/>
  <c r="C128" i="2"/>
  <c r="H105" i="2"/>
  <c r="G105" i="2"/>
  <c r="F105" i="2"/>
  <c r="E105" i="2"/>
  <c r="D105" i="2"/>
  <c r="C105" i="2"/>
  <c r="H93" i="2"/>
  <c r="G93" i="2"/>
  <c r="F93" i="2"/>
  <c r="E93" i="2"/>
  <c r="D93" i="2"/>
  <c r="C93" i="2"/>
  <c r="H82" i="2"/>
  <c r="G82" i="2"/>
  <c r="F82" i="2"/>
  <c r="E82" i="2"/>
  <c r="D82" i="2"/>
  <c r="C82" i="2"/>
  <c r="H70" i="2"/>
  <c r="G70" i="2"/>
  <c r="F70" i="2"/>
  <c r="E70" i="2"/>
  <c r="D70" i="2"/>
  <c r="C70" i="2"/>
  <c r="H59" i="2"/>
  <c r="G59" i="2"/>
  <c r="F59" i="2"/>
  <c r="E59" i="2"/>
  <c r="D59" i="2"/>
  <c r="C59" i="2"/>
  <c r="H13" i="2"/>
  <c r="G13" i="2"/>
  <c r="F13" i="2"/>
  <c r="E13" i="2"/>
  <c r="D13" i="2"/>
  <c r="C13" i="2"/>
  <c r="I139" i="2" l="1"/>
  <c r="I116" i="2"/>
  <c r="I128" i="2"/>
  <c r="I105" i="2"/>
  <c r="I125" i="2"/>
  <c r="J125" i="2" s="1"/>
  <c r="I124" i="2"/>
  <c r="J124" i="2" s="1"/>
  <c r="I79" i="2"/>
  <c r="J79" i="2" s="1"/>
  <c r="I78" i="2"/>
  <c r="J78" i="2" s="1"/>
  <c r="I33" i="2"/>
  <c r="J33" i="2" s="1"/>
  <c r="I32" i="2"/>
  <c r="J32" i="2" s="1"/>
  <c r="I70" i="3"/>
  <c r="J70" i="3" s="1"/>
  <c r="I69" i="3"/>
  <c r="J69" i="3" s="1"/>
  <c r="I67" i="3"/>
  <c r="J67" i="3" s="1"/>
  <c r="I66" i="3"/>
  <c r="I62" i="3"/>
  <c r="J62" i="3" s="1"/>
  <c r="I61" i="3"/>
  <c r="J61" i="3" s="1"/>
  <c r="I59" i="3"/>
  <c r="J59" i="3" s="1"/>
  <c r="I58" i="3"/>
  <c r="I53" i="3"/>
  <c r="J53" i="3" s="1"/>
  <c r="I52" i="3"/>
  <c r="J52" i="3" s="1"/>
  <c r="I50" i="3"/>
  <c r="J50" i="3" s="1"/>
  <c r="I49" i="3"/>
  <c r="I45" i="3"/>
  <c r="J45" i="3" s="1"/>
  <c r="I44" i="3"/>
  <c r="J44" i="3" s="1"/>
  <c r="I42" i="3"/>
  <c r="J42" i="3" s="1"/>
  <c r="I41" i="3"/>
  <c r="I35" i="3"/>
  <c r="J35" i="3" s="1"/>
  <c r="I34" i="3"/>
  <c r="J34" i="3" s="1"/>
  <c r="I32" i="3"/>
  <c r="J32" i="3" s="1"/>
  <c r="I31" i="3"/>
  <c r="I27" i="3"/>
  <c r="J27" i="3" s="1"/>
  <c r="I26" i="3"/>
  <c r="J26" i="3" s="1"/>
  <c r="I24" i="3"/>
  <c r="J24" i="3" s="1"/>
  <c r="I23" i="3"/>
  <c r="I18" i="3"/>
  <c r="J18" i="3" s="1"/>
  <c r="I17" i="3"/>
  <c r="J17" i="3" s="1"/>
  <c r="I15" i="3"/>
  <c r="J15" i="3" s="1"/>
  <c r="I14" i="3"/>
  <c r="I10" i="3"/>
  <c r="J10" i="3" s="1"/>
  <c r="I9" i="3"/>
  <c r="J9" i="3" s="1"/>
  <c r="I7" i="3"/>
  <c r="J7" i="3" s="1"/>
  <c r="I6" i="3"/>
  <c r="I102" i="2"/>
  <c r="J102" i="2" s="1"/>
  <c r="I101" i="2"/>
  <c r="J101" i="2" s="1"/>
  <c r="I56" i="2"/>
  <c r="J56" i="2" s="1"/>
  <c r="I55" i="2"/>
  <c r="J55" i="2" s="1"/>
  <c r="I10" i="2"/>
  <c r="J10" i="2" s="1"/>
  <c r="I9" i="2"/>
  <c r="J9" i="2" s="1"/>
  <c r="I137" i="2"/>
  <c r="J137" i="2" s="1"/>
  <c r="I135" i="2"/>
  <c r="J135" i="2" s="1"/>
  <c r="I134" i="2"/>
  <c r="J134" i="2" s="1"/>
  <c r="I132" i="2"/>
  <c r="J132" i="2" s="1"/>
  <c r="I131" i="2"/>
  <c r="J131" i="2" s="1"/>
  <c r="I127" i="2"/>
  <c r="J127" i="2" s="1"/>
  <c r="I122" i="2"/>
  <c r="J122" i="2" s="1"/>
  <c r="I121" i="2"/>
  <c r="J121" i="2" s="1"/>
  <c r="I114" i="2"/>
  <c r="J114" i="2" s="1"/>
  <c r="I112" i="2"/>
  <c r="J112" i="2" s="1"/>
  <c r="I111" i="2"/>
  <c r="J111" i="2" s="1"/>
  <c r="I109" i="2"/>
  <c r="J109" i="2" s="1"/>
  <c r="I108" i="2"/>
  <c r="J108" i="2" s="1"/>
  <c r="I104" i="2"/>
  <c r="J104" i="2" s="1"/>
  <c r="I99" i="2"/>
  <c r="J99" i="2" s="1"/>
  <c r="I98" i="2"/>
  <c r="J98" i="2" s="1"/>
  <c r="I91" i="2"/>
  <c r="J91" i="2" s="1"/>
  <c r="I89" i="2"/>
  <c r="J89" i="2" s="1"/>
  <c r="I88" i="2"/>
  <c r="J88" i="2" s="1"/>
  <c r="I86" i="2"/>
  <c r="J86" i="2" s="1"/>
  <c r="I85" i="2"/>
  <c r="I81" i="2"/>
  <c r="J81" i="2" s="1"/>
  <c r="I76" i="2"/>
  <c r="J76" i="2" s="1"/>
  <c r="I75" i="2"/>
  <c r="I68" i="2"/>
  <c r="J68" i="2" s="1"/>
  <c r="I66" i="2"/>
  <c r="J66" i="2" s="1"/>
  <c r="I65" i="2"/>
  <c r="J65" i="2" s="1"/>
  <c r="I63" i="2"/>
  <c r="J63" i="2" s="1"/>
  <c r="I62" i="2"/>
  <c r="I58" i="2"/>
  <c r="J58" i="2" s="1"/>
  <c r="I53" i="2"/>
  <c r="J53" i="2" s="1"/>
  <c r="I52" i="2"/>
  <c r="I45" i="2"/>
  <c r="J45" i="2" s="1"/>
  <c r="I43" i="2"/>
  <c r="J43" i="2" s="1"/>
  <c r="I42" i="2"/>
  <c r="J42" i="2" s="1"/>
  <c r="I40" i="2"/>
  <c r="I39" i="2"/>
  <c r="I35" i="2"/>
  <c r="J35" i="2" s="1"/>
  <c r="I30" i="2"/>
  <c r="I29" i="2"/>
  <c r="I22" i="2"/>
  <c r="J22" i="2" s="1"/>
  <c r="I20" i="2"/>
  <c r="J20" i="2" s="1"/>
  <c r="I19" i="2"/>
  <c r="J19" i="2" s="1"/>
  <c r="I17" i="2"/>
  <c r="I16" i="2"/>
  <c r="I12" i="2"/>
  <c r="J12" i="2" s="1"/>
  <c r="I7" i="2"/>
  <c r="J7" i="2" s="1"/>
  <c r="I6" i="2"/>
  <c r="I11" i="3" l="1"/>
  <c r="I19" i="3"/>
  <c r="I36" i="3"/>
  <c r="I46" i="3"/>
  <c r="I54" i="3"/>
  <c r="I63" i="3"/>
  <c r="I71" i="3"/>
  <c r="I28" i="3"/>
  <c r="J6" i="3"/>
  <c r="J41" i="3"/>
  <c r="J23" i="3"/>
  <c r="J58" i="3"/>
  <c r="J14" i="3"/>
  <c r="J49" i="3"/>
  <c r="J31" i="3"/>
  <c r="J66" i="3"/>
  <c r="J39" i="2"/>
  <c r="I47" i="2"/>
  <c r="J85" i="2"/>
  <c r="I93" i="2"/>
  <c r="J29" i="2"/>
  <c r="I36" i="2"/>
  <c r="J52" i="2"/>
  <c r="I59" i="2"/>
  <c r="J75" i="2"/>
  <c r="I82" i="2"/>
  <c r="J16" i="2"/>
  <c r="I24" i="2"/>
  <c r="J62" i="2"/>
  <c r="I70" i="2"/>
  <c r="J30" i="2"/>
  <c r="J6" i="2"/>
  <c r="I13" i="2"/>
  <c r="J40" i="2"/>
  <c r="J17" i="2"/>
</calcChain>
</file>

<file path=xl/sharedStrings.xml><?xml version="1.0" encoding="utf-8"?>
<sst xmlns="http://schemas.openxmlformats.org/spreadsheetml/2006/main" count="592" uniqueCount="174">
  <si>
    <t>Inpatient</t>
  </si>
  <si>
    <t>Facility</t>
  </si>
  <si>
    <t>Professional</t>
  </si>
  <si>
    <t>May</t>
  </si>
  <si>
    <t>June</t>
  </si>
  <si>
    <t>January</t>
  </si>
  <si>
    <t>February</t>
  </si>
  <si>
    <t>March</t>
  </si>
  <si>
    <t>April</t>
  </si>
  <si>
    <t>Outpatient</t>
  </si>
  <si>
    <t>Total</t>
  </si>
  <si>
    <t>% of All Services</t>
  </si>
  <si>
    <t>% All Procedures</t>
  </si>
  <si>
    <t>Free Standing Ambulatory Surgery/Procedure Centers</t>
  </si>
  <si>
    <t>The procedures in this analysis include inpatient and outpatient surgical operations and diagnostic procedures such as gastrointestinal endoscopies.</t>
  </si>
  <si>
    <t>Summary of Findings</t>
  </si>
  <si>
    <t>Methodology</t>
  </si>
  <si>
    <t>Results were reported for procedures performed at facilities (e.g., hospitals and ambulatory surgery centers or other providers for procedures) and by physicians (procedure physicians and anesthesiologists) in the following settings:</t>
  </si>
  <si>
    <r>
      <t>·</t>
    </r>
    <r>
      <rPr>
        <sz val="7"/>
        <color theme="1"/>
        <rFont val="Times New Roman"/>
        <family val="1"/>
      </rPr>
      <t xml:space="preserve">         </t>
    </r>
    <r>
      <rPr>
        <sz val="11"/>
        <color theme="1"/>
        <rFont val="Calibri"/>
        <family val="2"/>
        <scheme val="minor"/>
      </rPr>
      <t>Inpatient – inpatient hospital setting</t>
    </r>
  </si>
  <si>
    <r>
      <t>·</t>
    </r>
    <r>
      <rPr>
        <sz val="7"/>
        <color theme="1"/>
        <rFont val="Times New Roman"/>
        <family val="1"/>
      </rPr>
      <t xml:space="preserve">         </t>
    </r>
    <r>
      <rPr>
        <sz val="11"/>
        <color theme="1"/>
        <rFont val="Calibri"/>
        <family val="2"/>
        <scheme val="minor"/>
      </rPr>
      <t>Outpatient – outpatient hospitals and ambulatory surgery centers</t>
    </r>
  </si>
  <si>
    <r>
      <t>·</t>
    </r>
    <r>
      <rPr>
        <sz val="7"/>
        <color theme="1"/>
        <rFont val="Times New Roman"/>
        <family val="1"/>
      </rPr>
      <t xml:space="preserve">         </t>
    </r>
    <r>
      <rPr>
        <sz val="11"/>
        <color theme="1"/>
        <rFont val="Calibri"/>
        <family val="2"/>
        <scheme val="minor"/>
      </rPr>
      <t>Ambulatory Surgery/Procedure Centers – freestanding ambulatory surgery and diagnostic procedure centers</t>
    </r>
  </si>
  <si>
    <t>Elective Procedures</t>
  </si>
  <si>
    <t>Arthroplasty knee</t>
  </si>
  <si>
    <t>Hip replacement; total and partial</t>
  </si>
  <si>
    <t>Spinal fusion</t>
  </si>
  <si>
    <t>Other OR upper GI therapeutic procedures (e.g., fundoplication)</t>
  </si>
  <si>
    <t>Arthroplasty other than hip or knee</t>
  </si>
  <si>
    <t>Other OR therapeutic procedures on joints (e.g., removal of synthetic substance from joint)</t>
  </si>
  <si>
    <t>Other OR therapeutic nervous system procedures (e.g., release of lumbar spinal cord)</t>
  </si>
  <si>
    <t>Other OR Rx procedures on respiratory system and mediastinum (e.g., repair diaphragm)</t>
  </si>
  <si>
    <t>Other hernia repair</t>
  </si>
  <si>
    <t>Other OR therapeutic procedures on bone (e.g., resection of ribs)</t>
  </si>
  <si>
    <t>Decompression peripheral nerve</t>
  </si>
  <si>
    <t>Excision destruction or resection of intervertebral disc</t>
  </si>
  <si>
    <t>Possibly Elective Procedures</t>
  </si>
  <si>
    <t>Colorectal resection</t>
  </si>
  <si>
    <t>Other OR lower GI therapeutic procedures (e.g., excision of ileum, sigmoid colon)</t>
  </si>
  <si>
    <t>Hysterectomy; abdominal and vaginal</t>
  </si>
  <si>
    <t>Heart valve procedures</t>
  </si>
  <si>
    <t>Nephrectomy; partial or complete</t>
  </si>
  <si>
    <t>Lobectomy or pneumonectomy</t>
  </si>
  <si>
    <t>Other operations on fallopian tubes (e.g., resection fallopian tubes)</t>
  </si>
  <si>
    <t>Therapeutic endocrine procedures</t>
  </si>
  <si>
    <t>Excision (partial) of large intestine (not endoscopic)</t>
  </si>
  <si>
    <t>Urgent Procedures</t>
  </si>
  <si>
    <t>Cesarean section</t>
  </si>
  <si>
    <t>Gastrectomy; partial and total</t>
  </si>
  <si>
    <t>Other procedures to assist delivery</t>
  </si>
  <si>
    <t>Open prostatectomy</t>
  </si>
  <si>
    <t>Incision and excision of CNS</t>
  </si>
  <si>
    <t>Other OR gastrointestinal therapeutic procedures (e.g., excision of pancreas)</t>
  </si>
  <si>
    <t>Other OR therapeutic procedures on skin subcutaneous tissue fascia and breast</t>
  </si>
  <si>
    <t>Other OR procedures on vessels other than head and neck (e.g., abdominal aortic aneurysm repair)</t>
  </si>
  <si>
    <t>Coronary artery bypass graft (CABG)</t>
  </si>
  <si>
    <t>Other OR procedures on vessels of head and neck (e.g., treatment of occlusion  of artery)</t>
  </si>
  <si>
    <t>Fracture treatment including reposition with or without fixation of other fracture or dislocation</t>
  </si>
  <si>
    <t>Other OR heart procedures (e.g., cardiac ablation)</t>
  </si>
  <si>
    <t>Other procedures; hemic and lymphatic systems (e.g., excision of axillary lymphatic system)</t>
  </si>
  <si>
    <t>Other OR therapeutic procedures of urinary tract (e.g., dilatation of ureter)</t>
  </si>
  <si>
    <t>Fracture treatment including reposition with or without fixation; hip or femur fracture or dislocation</t>
  </si>
  <si>
    <t>Other therapeutic procedures on muscles and tendons (e.g., repair of perineum muscle)</t>
  </si>
  <si>
    <t>Fracture treatment including reposition with or without fixation; lower extremity fracture or dislocation (other than hip or femur)</t>
  </si>
  <si>
    <t>This analysis based on paid amounts and utilization of services in the Colorado All Payer Claims Database (CO ACPD) provides a summary of payments for elective procedures for commercially-insured members for each of the first six months of 2018 and 2019.</t>
  </si>
  <si>
    <t>Note:  these results include payments for commercial fully-insured plans and non-ERISA self-funded plans; they do not include payments for self-insured ERISA employers.</t>
  </si>
  <si>
    <t>Colonoscopy and biopsy</t>
  </si>
  <si>
    <t>Upper gastrointestinal endoscopy, biopsy</t>
  </si>
  <si>
    <t>Other non-OR or closed therapeutic nervous system procedures (e.g., joint injection)</t>
  </si>
  <si>
    <t>Other non-OR therapeutic cardiovascular procedures (e.g., removal tunneled catheter)</t>
  </si>
  <si>
    <t>Insertion of catheter or spinal stimulator and injection into spinal canal</t>
  </si>
  <si>
    <t>Other OR therapeutic procedures on nose, mouth and pharynx (e.g., sinus procedures)</t>
  </si>
  <si>
    <t>Other therapeutic procedures on muscles and tendons</t>
  </si>
  <si>
    <t>Other OR therapeutic nervous system procedures (e.g., ablative treatment for spinal pain)</t>
  </si>
  <si>
    <t>Other OR therapeutic procedures on joints (i.e., joint arthroscopy)</t>
  </si>
  <si>
    <t>Lens and cataract procedures</t>
  </si>
  <si>
    <t>Excision of semilunar cartilage of knee</t>
  </si>
  <si>
    <t>Other OR therapeutic procedures on skin and breast (e.g., breast reconstruction)</t>
  </si>
  <si>
    <t>Arthrocentesis</t>
  </si>
  <si>
    <t>Other OR therapeutic procedures on bone (e.g., removal of implant)</t>
  </si>
  <si>
    <t>Esophageal dilatation</t>
  </si>
  <si>
    <t>Arthroscopy</t>
  </si>
  <si>
    <t>Inguinal and femoral hernia repair</t>
  </si>
  <si>
    <t>Tonsillectomy and/or adenoidectomy</t>
  </si>
  <si>
    <t>Nonoperative urinary system measurements</t>
  </si>
  <si>
    <t>Laminectomy, excision intervertebral disc</t>
  </si>
  <si>
    <t>Other diagnostic radiology and related techniques (e.g., joint injection, sentinel node identification)</t>
  </si>
  <si>
    <t>Plastic procedures on nose</t>
  </si>
  <si>
    <t>Partial excision bone</t>
  </si>
  <si>
    <t>Bunionectomy or repair of toe deformities</t>
  </si>
  <si>
    <t>Myringotomy</t>
  </si>
  <si>
    <t>Hip replacement, total and partial</t>
  </si>
  <si>
    <t>Other diagnostic procedures on skin and subcutaneous tissue (e.g., biopsy of skin lesion)</t>
  </si>
  <si>
    <t>Tracheoscopy and laryngoscopy with biopsy</t>
  </si>
  <si>
    <t>Other non-OR therapeutic procedures, female organs (e.g., insert IUD)</t>
  </si>
  <si>
    <t>Other OR therapeutic procedures, female organs (e.g., colpopexy)</t>
  </si>
  <si>
    <t>Endoscopy and endoscopic biopsy of the urinary tract</t>
  </si>
  <si>
    <t>Skin graft</t>
  </si>
  <si>
    <t>Extracorporeal lithotripsy, urinary</t>
  </si>
  <si>
    <t>Other therapeutic procedures on eyelids, conjunctiva, cornea (e.g., eyelid procedures)</t>
  </si>
  <si>
    <t>Other OR therapeutic procedures, male genital</t>
  </si>
  <si>
    <t>Diagnostic procedures on nose, mouth and pharynx</t>
  </si>
  <si>
    <t>Excision of skin lesion</t>
  </si>
  <si>
    <t>Hysterectomy, abdominal and vaginal</t>
  </si>
  <si>
    <t>Other diagnostic procedures, female organs (e.g., biopsies)</t>
  </si>
  <si>
    <t>Proctoscopy and anorectal biopsy</t>
  </si>
  <si>
    <t>Diagnostic bronchoscopy and biopsy of bronchus</t>
  </si>
  <si>
    <t>Oophorectomy, unilateral and bilateral</t>
  </si>
  <si>
    <t>Other diagnostic procedures on musculoskeletal system (e.g., bone biopsy)</t>
  </si>
  <si>
    <t>Biopsy of liver</t>
  </si>
  <si>
    <t>Other diagnostic procedures of urinary tract (e.g., renal biopsy)</t>
  </si>
  <si>
    <t>Corneal transplant</t>
  </si>
  <si>
    <t>Breast biopsy and other diagnostic procedures on breast</t>
  </si>
  <si>
    <t>Debridement of wound, infection or burn</t>
  </si>
  <si>
    <t>Traction, splints, and other wound care</t>
  </si>
  <si>
    <t>Other vascular catheterization, not heart</t>
  </si>
  <si>
    <t>Fetal monitoring</t>
  </si>
  <si>
    <t>Other therapeutic procedures, hemic and lymphatic system (e.g., biopsy, removal of lymph nodes)</t>
  </si>
  <si>
    <t>Cholecystectomy and common duct exploration</t>
  </si>
  <si>
    <t>Suture of skin and subcutaneous tissue</t>
  </si>
  <si>
    <t>Treatment, fracture or dislocation of lower extremity (other than hip or femur)</t>
  </si>
  <si>
    <t>Other fracture and dislocation procedure</t>
  </si>
  <si>
    <t>Blood transfusion</t>
  </si>
  <si>
    <t>Treatment, fracture or dislocation of radius and ulna</t>
  </si>
  <si>
    <t>Lumpectomy, quadrantectomy of breast</t>
  </si>
  <si>
    <t>Injections and aspirations of muscles, tendons, bursa, joints and soft tissue</t>
  </si>
  <si>
    <t>Appendectomy</t>
  </si>
  <si>
    <t>Mastectomy</t>
  </si>
  <si>
    <t>Other non-OR therapeutic procedures on skin and breast (e.g., removal of foreign body)</t>
  </si>
  <si>
    <t>Ureteral catheterization</t>
  </si>
  <si>
    <t>Dilatation and curettage (D&amp;C), aspiration after delivery or abortion</t>
  </si>
  <si>
    <t>Repair of retinal tear, detachment</t>
  </si>
  <si>
    <t>Other OR lower GI therapeutic procedures (e.g., incision of anal abscess)</t>
  </si>
  <si>
    <t>Treatment, facial fracture or dislocation</t>
  </si>
  <si>
    <t>Bone marrow biopsy</t>
  </si>
  <si>
    <t>Abdominal paracentesis</t>
  </si>
  <si>
    <t>COVID-19 Elective Procedure Temporary Cessation, Cost and Utilization Projection, Colorado All Payer Claims Database, Analysis conducted May 2020</t>
  </si>
  <si>
    <t>Purpose</t>
  </si>
  <si>
    <t>Inclusions and Exclusions</t>
  </si>
  <si>
    <r>
      <t>·</t>
    </r>
    <r>
      <rPr>
        <sz val="7"/>
        <color theme="1"/>
        <rFont val="Times New Roman"/>
        <family val="1"/>
      </rPr>
      <t xml:space="preserve">         </t>
    </r>
    <r>
      <rPr>
        <sz val="11"/>
        <color theme="1"/>
        <rFont val="Calibri"/>
        <family val="2"/>
        <scheme val="minor"/>
      </rPr>
      <t>Performed in an outpatient hospital or ambulatory surgery/diagnostic procedure center with a surgical CPT-4 procedure code from 10030 – 69990 and were not performed as part of an emergency department visit.</t>
    </r>
  </si>
  <si>
    <t>1. Elective procedures were initially defined as those:</t>
  </si>
  <si>
    <t>2. Procedures were grouped for analysis using the AHRQ Clinical Classification Software.</t>
  </si>
  <si>
    <t>Overview and Results</t>
  </si>
  <si>
    <t>Elective + Possibly Elective Procedures - Total Allowed Amount (Plan Paid plus member liability)</t>
  </si>
  <si>
    <t>Elective Procedures Only - Plan Paid Amount Only</t>
  </si>
  <si>
    <t>Elective Procedures Only - Total Allowed Amount (Plan Paid plus Member Liability)</t>
  </si>
  <si>
    <t xml:space="preserve">Elective Procedures Only - Claim Volume </t>
  </si>
  <si>
    <t>Elective + Possibly Elective Procedures - Plan Paid Amount Only</t>
  </si>
  <si>
    <t>Elective + Possibly Elective Procedures - Claim Volume</t>
  </si>
  <si>
    <t>INPATIENT: High Volume Elective, Possibly Elective and Urgent Procedures</t>
  </si>
  <si>
    <r>
      <t xml:space="preserve">OUTPATIENT: High Volume Elective, Possibly Elective and Urgent </t>
    </r>
    <r>
      <rPr>
        <b/>
        <sz val="12"/>
        <color theme="0"/>
        <rFont val="Calibri"/>
        <family val="2"/>
        <scheme val="minor"/>
      </rPr>
      <t>Procedures</t>
    </r>
  </si>
  <si>
    <t>Services by Category</t>
  </si>
  <si>
    <r>
      <t>·</t>
    </r>
    <r>
      <rPr>
        <sz val="7"/>
        <color theme="1"/>
        <rFont val="Times New Roman"/>
        <family val="1"/>
      </rPr>
      <t xml:space="preserve">         </t>
    </r>
    <r>
      <rPr>
        <sz val="11"/>
        <color theme="1"/>
        <rFont val="Calibri"/>
        <family val="2"/>
        <scheme val="minor"/>
      </rPr>
      <t>Performed in an inpatient setting and classified as a surgical DRG, with an admission type of elective and a principal procedure date equal to the date of admission.</t>
    </r>
  </si>
  <si>
    <t>3. The resulting list included procedures that can be considered urgent and cannot not be delayed. Consequently, each procedure category was reviewed and evaluated:</t>
  </si>
  <si>
    <r>
      <t>·</t>
    </r>
    <r>
      <rPr>
        <sz val="7"/>
        <color theme="1"/>
        <rFont val="Times New Roman"/>
        <family val="1"/>
      </rPr>
      <t xml:space="preserve">         </t>
    </r>
    <r>
      <rPr>
        <sz val="11"/>
        <color theme="1"/>
        <rFont val="Calibri"/>
        <family val="2"/>
        <scheme val="minor"/>
      </rPr>
      <t xml:space="preserve">To determine how frequently it was performed on an emergent basis, and </t>
    </r>
  </si>
  <si>
    <r>
      <t>·</t>
    </r>
    <r>
      <rPr>
        <sz val="7"/>
        <color theme="1"/>
        <rFont val="Times New Roman"/>
        <family val="1"/>
      </rPr>
      <t xml:space="preserve">         </t>
    </r>
    <r>
      <rPr>
        <sz val="11"/>
        <color theme="1"/>
        <rFont val="Calibri"/>
        <family val="2"/>
        <scheme val="minor"/>
      </rPr>
      <t>Using criteria published by the American College of Surgeons for COVID-19: Elective Case Triage Guidelines for Surgical Care: https://www.facs.org/covid-19/clinical-guidance/elective-case</t>
    </r>
  </si>
  <si>
    <t xml:space="preserve">4. The list was then further classified into “elective”, “urgent” or “possibly elective”.  </t>
  </si>
  <si>
    <r>
      <t>·</t>
    </r>
    <r>
      <rPr>
        <sz val="7"/>
        <color theme="1"/>
        <rFont val="Times New Roman"/>
        <family val="1"/>
      </rPr>
      <t>       </t>
    </r>
    <r>
      <rPr>
        <b/>
        <sz val="7"/>
        <color theme="1"/>
        <rFont val="Times New Roman"/>
        <family val="1"/>
      </rPr>
      <t xml:space="preserve">  </t>
    </r>
    <r>
      <rPr>
        <b/>
        <sz val="11"/>
        <color theme="1"/>
        <rFont val="Calibri"/>
        <family val="2"/>
        <scheme val="minor"/>
      </rPr>
      <t xml:space="preserve">Urgent: </t>
    </r>
    <r>
      <rPr>
        <sz val="11"/>
        <color theme="1"/>
        <rFont val="Calibri"/>
        <family val="2"/>
        <scheme val="minor"/>
      </rPr>
      <t>Procedures often performed on an emergent basis or identified as emergent or urgent in the ACS guidelines were designated as “urgent”.  These are procedures that cannot be delayed. Urgent procedures typically included maternity care (e.g., Cesarean section), cardiac surgery (e.g., coronary artery bypass graft), procedures clearly for cancer treatment (e.g. gastrectomy) and vascular surgery of the head and neck (e.g., treatment of occlusions of the carotid arteries).</t>
    </r>
  </si>
  <si>
    <r>
      <t>·</t>
    </r>
    <r>
      <rPr>
        <sz val="7"/>
        <color theme="1"/>
        <rFont val="Times New Roman"/>
        <family val="1"/>
      </rPr>
      <t xml:space="preserve">         </t>
    </r>
    <r>
      <rPr>
        <b/>
        <sz val="11"/>
        <color theme="1"/>
        <rFont val="Calibri"/>
        <family val="2"/>
        <scheme val="minor"/>
      </rPr>
      <t>Possibly elective:</t>
    </r>
    <r>
      <rPr>
        <sz val="11"/>
        <color theme="1"/>
        <rFont val="Calibri"/>
        <family val="2"/>
        <scheme val="minor"/>
      </rPr>
      <t xml:space="preserve"> The classification of some procedures as elective was difficult to determine and these were designated “possibly elective”. These were procedures that, depending on the clinical circumstances, can or cannot not be delayed for three months. Examples are hysterectomy and colorectal resection procedures. If hysterectomy is performed to treat cancer, it is an urgent procedure, but if performed to treat fibroids, it can be considered elective. A colorectal resection may be necessary to treat cancer that partially obstructs the bowel, which is urgent, or to treat malignant polyps, which the American College of Surgeons indicates can be deferred for 3 months.  </t>
    </r>
  </si>
  <si>
    <r>
      <t xml:space="preserve">The </t>
    </r>
    <r>
      <rPr>
        <b/>
        <sz val="11"/>
        <color theme="1"/>
        <rFont val="Calibri"/>
        <family val="2"/>
        <scheme val="minor"/>
      </rPr>
      <t>Services by Category</t>
    </r>
    <r>
      <rPr>
        <sz val="11"/>
        <color theme="1"/>
        <rFont val="Calibri"/>
        <family val="2"/>
        <scheme val="minor"/>
      </rPr>
      <t xml:space="preserve"> tab shows services for each category: common elective, possibly elective and urgent procedures performed in inpatient and outpatient settings, including ambulatory surgery centers, respectively.</t>
    </r>
  </si>
  <si>
    <t>Defining Elective and Possibly Elective Procedures</t>
  </si>
  <si>
    <t>Services Included</t>
  </si>
  <si>
    <t xml:space="preserve">Payments and claim volumes for facility and physician (both procedure physician and anesthesiologist) were reported by month for the first six months of 2018 and 2019 for procedures classified as elective. To evaluate the impact of procedures where classification as elective was not clear, results were also produced for the combination of elective and possibly elective procedures. Results provided on the "Results not incl CAH" tab do not include services performed at Critical Access Hospitals (CAHs) which were exempt from the moratorium on elective service order. Results exclusive to CAHs are listed on the "Results Critical Access only" tab. </t>
  </si>
  <si>
    <t>Output - Elective vs. Elective + Possibly Elective &amp; Critical Access Hospitals</t>
  </si>
  <si>
    <t>Setting Breakouts</t>
  </si>
  <si>
    <t>Paid Amounts and Claim Volume, Not Including Critical Access Hospitals</t>
  </si>
  <si>
    <t>Paid Amounts and Claim Volume, Critical Access Hospitals ONLY</t>
  </si>
  <si>
    <t>Cost (Not including Critical Access Hospitals)</t>
  </si>
  <si>
    <t>Utilization (Not including Critical Access Hospitals)</t>
  </si>
  <si>
    <t>Critical Access Hospitals</t>
  </si>
  <si>
    <t xml:space="preserve">• Payments to CAHs for elective and possibly elective services is small, accounting for 1.7% of the total across all Colorado providers. 
• However, payments to CAHs for elective and possibly elective services averages $1.5M/month, which could have a significant impact on the livelihood of rural hospitals with tight operating margins.                                                                                                                                                                                                                                                              </t>
  </si>
  <si>
    <t>*</t>
  </si>
  <si>
    <t>The purpose of this information is to help the Colorado Division of Insurance, payers and other stakeholders estimate the impact of the Governor’s order for the “Temporary Cessation of All Elective and Non-Essential Surgeries and Procedures and Preserving Personal Protective Equipment and Ventilators in Colorado Due to the Presence of COVID-19” on payer reimbursement. The order specified that "...due to the presence of coronavirus disease 2019 (COVID-19) in Colorado, all hospitals, outpatient surgeries and procedure providers are directed to cease all elective and non-essential surgeries and procedures and to preserve personal protective equipment and ventilators and respirators from March 23, 2020 to April 14, 2020, with the exception of rural and critical access hospitals".</t>
  </si>
  <si>
    <t>• Elective procedures represent 73% of claims for all procedures (i.e., elective + non-elective procedures). Including possibly elective services increases the percentage to 77% of claims for all procedures.
• Percent of total claims that elective procedures represent varies by health care setting: 
o Inpatient: 28% of claims for all procedures
o Outpatient: 65% of of claims for all procedures
o Ambulatory surgery/Diagnostic procedure centers: 91% of claims for all procedures</t>
  </si>
  <si>
    <t>• Payments for elective services average $80M/month in total (payer allowed amount and member liability), and increase to $90M/month when including possibly elective services.
• Elective services represent 64% of payments to providers for all procedures (i.e., elective + non-elective procedures)
• Two or more months of temporary cessation could result in over $160-$180M in lost revenue for providers
• Percent of total payments that elective procedures represent varies by health care setting: 
o Inpatient: 23% of payments for all procedures
o Outpatient: 72% of payments for all procedures
o Ambulatory surgery/Diagnostic procedure centers: 88% of payments for all procedures</t>
  </si>
  <si>
    <r>
      <t>COVID-19</t>
    </r>
    <r>
      <rPr>
        <b/>
        <sz val="18"/>
        <color rgb="FFED7D31"/>
        <rFont val="Gill Sans MT"/>
        <family val="2"/>
      </rPr>
      <t xml:space="preserve"> Elective Proc</t>
    </r>
    <r>
      <rPr>
        <b/>
        <sz val="18"/>
        <color rgb="FFE58036"/>
        <rFont val="Gill Sans MT"/>
        <family val="2"/>
      </rPr>
      <t>edure Temporary Cessation, Cost and Utilization Projection, Colorado All Payer Claims Database, Analysis conducted May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</si>
</sst>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b/>
      <sz val="14"/>
      <color rgb="FFE58036"/>
      <name val="Calibri"/>
      <family val="2"/>
      <scheme val="minor"/>
    </font>
    <font>
      <b/>
      <sz val="12"/>
      <color theme="0"/>
      <name val="Calibri"/>
      <family val="2"/>
      <scheme val="minor"/>
    </font>
    <font>
      <b/>
      <sz val="16"/>
      <color theme="0"/>
      <name val="Calibri"/>
      <family val="2"/>
      <scheme val="minor"/>
    </font>
    <font>
      <b/>
      <sz val="18"/>
      <color theme="0"/>
      <name val="Calibri"/>
      <family val="2"/>
      <scheme val="minor"/>
    </font>
    <font>
      <b/>
      <sz val="7"/>
      <color theme="1"/>
      <name val="Times New Roman"/>
      <family val="1"/>
    </font>
    <font>
      <b/>
      <sz val="12"/>
      <color theme="0"/>
      <name val="Gill Sans MT"/>
      <family val="2"/>
    </font>
    <font>
      <b/>
      <sz val="12"/>
      <color theme="5"/>
      <name val="Gill Sans MT"/>
      <family val="2"/>
    </font>
    <font>
      <b/>
      <sz val="12"/>
      <color theme="2" tint="-0.499984740745262"/>
      <name val="Gill Sans MT"/>
      <family val="2"/>
    </font>
    <font>
      <sz val="11"/>
      <name val="Calibri"/>
      <family val="2"/>
      <scheme val="minor"/>
    </font>
    <font>
      <b/>
      <sz val="13"/>
      <color rgb="FFE58036"/>
      <name val="Gill Sans MT"/>
      <family val="2"/>
    </font>
    <font>
      <b/>
      <sz val="18"/>
      <color rgb="FFE58036"/>
      <name val="Gill Sans MT"/>
      <family val="2"/>
    </font>
    <font>
      <b/>
      <sz val="18"/>
      <color rgb="FFED7D31"/>
      <name val="Gill Sans MT"/>
      <family val="2"/>
    </font>
    <font>
      <b/>
      <sz val="16"/>
      <color theme="1"/>
      <name val="Calibri"/>
      <family val="2"/>
      <scheme val="minor"/>
    </font>
    <font>
      <sz val="18"/>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Alignment="1">
      <alignment horizontal="right"/>
    </xf>
    <xf numFmtId="0" fontId="0" fillId="0" borderId="0" xfId="0" applyBorder="1"/>
    <xf numFmtId="0" fontId="2" fillId="0" borderId="0" xfId="0" applyFont="1"/>
    <xf numFmtId="0" fontId="4" fillId="0" borderId="0" xfId="0" applyFont="1"/>
    <xf numFmtId="0" fontId="2" fillId="0" borderId="3" xfId="0" applyFont="1" applyBorder="1" applyAlignment="1">
      <alignment horizontal="right"/>
    </xf>
    <xf numFmtId="0" fontId="2" fillId="0" borderId="3" xfId="0" applyFont="1" applyBorder="1"/>
    <xf numFmtId="164" fontId="2" fillId="0" borderId="3" xfId="2" applyNumberFormat="1" applyFont="1" applyBorder="1"/>
    <xf numFmtId="9" fontId="2" fillId="0" borderId="3" xfId="3" applyFont="1" applyBorder="1"/>
    <xf numFmtId="165" fontId="2" fillId="0" borderId="3" xfId="1" applyNumberFormat="1" applyFont="1" applyBorder="1"/>
    <xf numFmtId="164" fontId="2" fillId="2" borderId="3" xfId="2" applyNumberFormat="1" applyFont="1" applyFill="1" applyBorder="1"/>
    <xf numFmtId="9" fontId="2" fillId="2" borderId="3" xfId="3" applyFont="1" applyFill="1" applyBorder="1"/>
    <xf numFmtId="165" fontId="2" fillId="2" borderId="3" xfId="1" applyNumberFormat="1" applyFont="1" applyFill="1" applyBorder="1"/>
    <xf numFmtId="164" fontId="2" fillId="0" borderId="3" xfId="2" applyNumberFormat="1" applyFont="1" applyBorder="1" applyAlignment="1">
      <alignment vertical="center"/>
    </xf>
    <xf numFmtId="9" fontId="2" fillId="0" borderId="3" xfId="3" applyFont="1" applyBorder="1" applyAlignment="1">
      <alignment vertical="center"/>
    </xf>
    <xf numFmtId="165" fontId="2" fillId="0" borderId="3" xfId="1" applyNumberFormat="1" applyFont="1" applyBorder="1" applyAlignment="1">
      <alignment vertical="center"/>
    </xf>
    <xf numFmtId="0" fontId="3" fillId="0" borderId="3" xfId="0" applyFont="1" applyBorder="1" applyAlignment="1">
      <alignment horizontal="center" vertical="center" wrapText="1"/>
    </xf>
    <xf numFmtId="164" fontId="3" fillId="0" borderId="3" xfId="2" applyNumberFormat="1" applyFont="1" applyBorder="1" applyAlignment="1">
      <alignment vertical="center"/>
    </xf>
    <xf numFmtId="9" fontId="3" fillId="0" borderId="3" xfId="3" applyFont="1" applyBorder="1" applyAlignment="1">
      <alignment vertical="center"/>
    </xf>
    <xf numFmtId="165" fontId="3" fillId="0" borderId="3" xfId="1" applyNumberFormat="1" applyFont="1" applyBorder="1" applyAlignment="1">
      <alignment vertical="center"/>
    </xf>
    <xf numFmtId="164" fontId="2" fillId="0" borderId="3" xfId="0" applyNumberFormat="1" applyFont="1" applyBorder="1"/>
    <xf numFmtId="0" fontId="3" fillId="0" borderId="3" xfId="0" applyFont="1" applyBorder="1" applyAlignment="1">
      <alignment horizontal="center"/>
    </xf>
    <xf numFmtId="0" fontId="3" fillId="0" borderId="3" xfId="0" applyFont="1" applyBorder="1"/>
    <xf numFmtId="164" fontId="3" fillId="0" borderId="3" xfId="0" applyNumberFormat="1" applyFont="1" applyBorder="1"/>
    <xf numFmtId="43" fontId="2" fillId="0" borderId="3" xfId="1" applyFont="1" applyBorder="1" applyAlignment="1">
      <alignment vertical="center"/>
    </xf>
    <xf numFmtId="164" fontId="2" fillId="0" borderId="3" xfId="2" applyNumberFormat="1" applyFont="1" applyBorder="1" applyAlignment="1">
      <alignment horizontal="center" vertical="center"/>
    </xf>
    <xf numFmtId="164" fontId="3" fillId="0" borderId="3" xfId="2" applyNumberFormat="1" applyFont="1" applyBorder="1" applyAlignment="1">
      <alignment horizontal="center" vertical="center"/>
    </xf>
    <xf numFmtId="9" fontId="3" fillId="0" borderId="3" xfId="3" applyFont="1" applyBorder="1"/>
    <xf numFmtId="164" fontId="3" fillId="0" borderId="3" xfId="2" applyNumberFormat="1" applyFont="1" applyBorder="1"/>
    <xf numFmtId="0" fontId="3" fillId="0" borderId="3" xfId="0" applyFont="1" applyBorder="1" applyAlignment="1">
      <alignment horizontal="right"/>
    </xf>
    <xf numFmtId="0" fontId="3" fillId="2" borderId="3" xfId="0" applyFont="1" applyFill="1" applyBorder="1"/>
    <xf numFmtId="0" fontId="5" fillId="0" borderId="0" xfId="0" applyFont="1" applyAlignment="1">
      <alignment vertical="center"/>
    </xf>
    <xf numFmtId="0" fontId="0" fillId="7" borderId="6" xfId="0" applyFill="1" applyBorder="1" applyAlignment="1">
      <alignment vertical="center"/>
    </xf>
    <xf numFmtId="0" fontId="0" fillId="7" borderId="2" xfId="0" applyFill="1" applyBorder="1"/>
    <xf numFmtId="0" fontId="0" fillId="7" borderId="7" xfId="0" applyFill="1" applyBorder="1"/>
    <xf numFmtId="0" fontId="0" fillId="7" borderId="8" xfId="0" applyFill="1" applyBorder="1" applyAlignment="1">
      <alignment vertical="center"/>
    </xf>
    <xf numFmtId="0" fontId="0" fillId="7" borderId="0" xfId="0" applyFill="1" applyBorder="1"/>
    <xf numFmtId="0" fontId="0" fillId="7" borderId="9" xfId="0" applyFill="1" applyBorder="1"/>
    <xf numFmtId="0" fontId="0" fillId="7" borderId="2" xfId="0" applyFill="1" applyBorder="1" applyAlignment="1">
      <alignment horizontal="left" vertical="center" indent="2"/>
    </xf>
    <xf numFmtId="0" fontId="0" fillId="7" borderId="10" xfId="0" applyFill="1" applyBorder="1" applyAlignment="1">
      <alignment vertical="center"/>
    </xf>
    <xf numFmtId="0" fontId="0" fillId="7" borderId="1" xfId="0" applyFill="1" applyBorder="1"/>
    <xf numFmtId="0" fontId="0" fillId="7" borderId="11" xfId="0" applyFill="1" applyBorder="1"/>
    <xf numFmtId="0" fontId="0" fillId="7" borderId="6" xfId="0" applyFill="1" applyBorder="1"/>
    <xf numFmtId="0" fontId="3" fillId="0" borderId="3" xfId="0" applyFont="1" applyBorder="1" applyAlignment="1">
      <alignment horizontal="center" vertical="center"/>
    </xf>
    <xf numFmtId="9" fontId="2" fillId="0" borderId="3" xfId="0" applyNumberFormat="1" applyFont="1" applyBorder="1"/>
    <xf numFmtId="0" fontId="2" fillId="0" borderId="3" xfId="3" applyNumberFormat="1" applyFont="1" applyBorder="1"/>
    <xf numFmtId="0" fontId="3" fillId="0" borderId="3" xfId="3" applyNumberFormat="1" applyFont="1" applyBorder="1"/>
    <xf numFmtId="0" fontId="2" fillId="0" borderId="3" xfId="3" applyNumberFormat="1" applyFont="1" applyBorder="1" applyAlignment="1">
      <alignment horizontal="center"/>
    </xf>
    <xf numFmtId="0" fontId="8"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6" fillId="0" borderId="0" xfId="0" applyFont="1" applyAlignment="1">
      <alignment horizontal="left" vertical="center" wrapText="1"/>
    </xf>
    <xf numFmtId="0" fontId="13" fillId="3" borderId="0" xfId="0" applyFont="1" applyFill="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center" wrapText="1"/>
    </xf>
    <xf numFmtId="0" fontId="15"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0" fontId="6" fillId="0" borderId="0" xfId="0" applyFont="1" applyAlignment="1">
      <alignment horizontal="left" vertical="center"/>
    </xf>
    <xf numFmtId="0" fontId="14" fillId="0" borderId="0" xfId="0" applyFont="1" applyFill="1" applyAlignment="1">
      <alignment horizontal="center" vertical="center"/>
    </xf>
    <xf numFmtId="0" fontId="0" fillId="0" borderId="0" xfId="0" applyAlignment="1">
      <alignment vertical="center" wrapText="1"/>
    </xf>
    <xf numFmtId="0" fontId="6" fillId="0" borderId="0" xfId="0" applyFont="1" applyAlignment="1">
      <alignment vertical="top" wrapText="1"/>
    </xf>
    <xf numFmtId="0" fontId="0" fillId="0" borderId="0" xfId="0" applyAlignment="1">
      <alignment vertical="top" wrapText="1"/>
    </xf>
    <xf numFmtId="0" fontId="9" fillId="3" borderId="0" xfId="0" applyFont="1" applyFill="1" applyAlignment="1">
      <alignment horizont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xf>
    <xf numFmtId="0" fontId="0" fillId="4" borderId="8" xfId="0" applyFill="1" applyBorder="1" applyAlignment="1">
      <alignment horizontal="center" vertical="center"/>
    </xf>
    <xf numFmtId="0" fontId="0" fillId="4" borderId="0" xfId="0" applyFill="1" applyBorder="1" applyAlignment="1">
      <alignment horizontal="center" vertical="center"/>
    </xf>
    <xf numFmtId="0" fontId="0" fillId="4" borderId="9" xfId="0" applyFill="1" applyBorder="1" applyAlignment="1">
      <alignment horizontal="center" vertical="center"/>
    </xf>
    <xf numFmtId="0" fontId="0" fillId="7" borderId="10" xfId="0" applyFill="1" applyBorder="1" applyAlignment="1">
      <alignment horizontal="left" vertical="center" wrapText="1"/>
    </xf>
    <xf numFmtId="0" fontId="0" fillId="7" borderId="1" xfId="0" applyFill="1" applyBorder="1" applyAlignment="1">
      <alignment horizontal="left" vertical="center" wrapText="1"/>
    </xf>
    <xf numFmtId="0" fontId="0" fillId="7" borderId="11" xfId="0" applyFill="1" applyBorder="1" applyAlignment="1">
      <alignment horizontal="left" vertical="center" wrapText="1"/>
    </xf>
    <xf numFmtId="0" fontId="3" fillId="0" borderId="3" xfId="0" applyFont="1" applyBorder="1" applyAlignment="1">
      <alignment horizontal="center" vertical="center"/>
    </xf>
    <xf numFmtId="0" fontId="10" fillId="5" borderId="3" xfId="0"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1" fillId="3" borderId="3" xfId="0" applyFont="1" applyFill="1" applyBorder="1" applyAlignment="1">
      <alignment horizontal="center"/>
    </xf>
    <xf numFmtId="0" fontId="3" fillId="0" borderId="13" xfId="0" applyFont="1" applyBorder="1" applyAlignment="1">
      <alignment horizontal="center" vertical="center" wrapText="1"/>
    </xf>
    <xf numFmtId="164" fontId="2" fillId="0" borderId="13" xfId="2" applyNumberFormat="1" applyFont="1" applyBorder="1" applyAlignment="1">
      <alignment vertical="center"/>
    </xf>
    <xf numFmtId="9" fontId="2" fillId="0" borderId="13" xfId="3" applyFont="1" applyBorder="1" applyAlignment="1">
      <alignment vertical="center"/>
    </xf>
    <xf numFmtId="0" fontId="2" fillId="0" borderId="14" xfId="0" applyFont="1" applyBorder="1" applyAlignment="1">
      <alignment horizontal="right"/>
    </xf>
    <xf numFmtId="0" fontId="3" fillId="0" borderId="14" xfId="0" applyFont="1" applyBorder="1" applyAlignment="1">
      <alignment horizontal="right"/>
    </xf>
    <xf numFmtId="0" fontId="2" fillId="6" borderId="0" xfId="0" applyFont="1" applyFill="1"/>
    <xf numFmtId="0" fontId="0" fillId="6" borderId="0" xfId="0" applyFill="1"/>
    <xf numFmtId="0" fontId="17" fillId="0" borderId="0" xfId="0" applyFont="1" applyAlignment="1">
      <alignment horizontal="center" vertical="center" wrapText="1"/>
    </xf>
    <xf numFmtId="0" fontId="18" fillId="0" borderId="0" xfId="0" applyFont="1" applyAlignment="1">
      <alignment horizontal="center" vertical="center" wrapText="1"/>
    </xf>
    <xf numFmtId="0" fontId="20" fillId="0" borderId="1" xfId="0" applyFont="1" applyBorder="1" applyAlignment="1">
      <alignment horizontal="center"/>
    </xf>
    <xf numFmtId="0" fontId="21"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1</xdr:col>
      <xdr:colOff>514350</xdr:colOff>
      <xdr:row>0</xdr:row>
      <xdr:rowOff>1138386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04775"/>
          <a:ext cx="1038225" cy="1033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457200</xdr:colOff>
      <xdr:row>0</xdr:row>
      <xdr:rowOff>900853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0"/>
          <a:ext cx="904875" cy="900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38100</xdr:rowOff>
    </xdr:from>
    <xdr:to>
      <xdr:col>1</xdr:col>
      <xdr:colOff>438150</xdr:colOff>
      <xdr:row>0</xdr:row>
      <xdr:rowOff>891540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8100"/>
          <a:ext cx="857250" cy="853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535781</xdr:colOff>
      <xdr:row>0</xdr:row>
      <xdr:rowOff>95250</xdr:rowOff>
    </xdr:from>
    <xdr:to>
      <xdr:col>0</xdr:col>
      <xdr:colOff>1500187</xdr:colOff>
      <xdr:row>1</xdr:row>
      <xdr:rowOff>31432</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1" y="95250"/>
          <a:ext cx="964406" cy="96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xdr:col>
      <xdr:colOff>607218</xdr:colOff>
      <xdr:row>0</xdr:row>
      <xdr:rowOff>1007533</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0"/>
          <a:ext cx="1012031" cy="1007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topLeftCell="A2" workbookViewId="0">
      <selection activeCell="A5" sqref="A5:I5"/>
    </sheetView>
  </sheetViews>
  <sheetFormatPr defaultRowHeight="15" x14ac:dyDescent="0.25"/>
  <cols>
    <col min="9" max="9" width="17.5703125" customWidth="1"/>
  </cols>
  <sheetData>
    <row r="1" spans="1:9" ht="95.25" customHeight="1" x14ac:dyDescent="0.25">
      <c r="C1" s="48" t="s">
        <v>134</v>
      </c>
      <c r="D1" s="48"/>
      <c r="E1" s="48"/>
      <c r="F1" s="48"/>
      <c r="G1" s="48"/>
      <c r="H1" s="48"/>
      <c r="I1" s="48"/>
    </row>
    <row r="2" spans="1:9" ht="19.5" x14ac:dyDescent="0.25">
      <c r="A2" s="52" t="s">
        <v>140</v>
      </c>
      <c r="B2" s="52"/>
      <c r="C2" s="52"/>
      <c r="D2" s="52"/>
      <c r="E2" s="52"/>
      <c r="F2" s="52"/>
      <c r="G2" s="52"/>
      <c r="H2" s="52"/>
      <c r="I2" s="52"/>
    </row>
    <row r="3" spans="1:9" ht="48" customHeight="1" x14ac:dyDescent="0.25">
      <c r="A3" s="49" t="s">
        <v>62</v>
      </c>
      <c r="B3" s="49"/>
      <c r="C3" s="49"/>
      <c r="D3" s="49"/>
      <c r="E3" s="49"/>
      <c r="F3" s="49"/>
      <c r="G3" s="49"/>
      <c r="H3" s="49"/>
      <c r="I3" s="49"/>
    </row>
    <row r="4" spans="1:9" ht="22.5" customHeight="1" x14ac:dyDescent="0.25">
      <c r="A4" s="53" t="s">
        <v>135</v>
      </c>
      <c r="B4" s="53"/>
      <c r="C4" s="53"/>
      <c r="D4" s="53"/>
      <c r="E4" s="53"/>
      <c r="F4" s="53"/>
      <c r="G4" s="53"/>
      <c r="H4" s="53"/>
      <c r="I4" s="53"/>
    </row>
    <row r="5" spans="1:9" ht="117.6" customHeight="1" x14ac:dyDescent="0.25">
      <c r="A5" s="49" t="s">
        <v>170</v>
      </c>
      <c r="B5" s="49"/>
      <c r="C5" s="49"/>
      <c r="D5" s="49"/>
      <c r="E5" s="49"/>
      <c r="F5" s="49"/>
      <c r="G5" s="49"/>
      <c r="H5" s="49"/>
      <c r="I5" s="49"/>
    </row>
    <row r="6" spans="1:9" ht="26.25" customHeight="1" x14ac:dyDescent="0.25">
      <c r="A6" s="53" t="s">
        <v>136</v>
      </c>
      <c r="B6" s="53"/>
      <c r="C6" s="53"/>
      <c r="D6" s="53"/>
      <c r="E6" s="53"/>
      <c r="F6" s="53"/>
      <c r="G6" s="53"/>
      <c r="H6" s="53"/>
      <c r="I6" s="53"/>
    </row>
    <row r="7" spans="1:9" ht="37.5" customHeight="1" x14ac:dyDescent="0.25">
      <c r="A7" s="49" t="s">
        <v>14</v>
      </c>
      <c r="B7" s="49"/>
      <c r="C7" s="49"/>
      <c r="D7" s="49"/>
      <c r="E7" s="49"/>
      <c r="F7" s="49"/>
      <c r="G7" s="49"/>
      <c r="H7" s="49"/>
      <c r="I7" s="49"/>
    </row>
    <row r="8" spans="1:9" ht="36" customHeight="1" x14ac:dyDescent="0.25">
      <c r="A8" s="50" t="s">
        <v>63</v>
      </c>
      <c r="B8" s="50"/>
      <c r="C8" s="50"/>
      <c r="D8" s="50"/>
      <c r="E8" s="50"/>
      <c r="F8" s="50"/>
      <c r="G8" s="50"/>
      <c r="H8" s="50"/>
      <c r="I8" s="50"/>
    </row>
    <row r="9" spans="1:9" ht="30.75" customHeight="1" x14ac:dyDescent="0.25">
      <c r="A9" s="53" t="s">
        <v>15</v>
      </c>
      <c r="B9" s="53"/>
      <c r="C9" s="53"/>
      <c r="D9" s="53"/>
      <c r="E9" s="53"/>
      <c r="F9" s="53"/>
      <c r="G9" s="53"/>
      <c r="H9" s="53"/>
      <c r="I9" s="53"/>
    </row>
    <row r="10" spans="1:9" ht="21.75" customHeight="1" x14ac:dyDescent="0.25">
      <c r="A10" s="55" t="s">
        <v>165</v>
      </c>
      <c r="B10" s="55"/>
      <c r="C10" s="55"/>
      <c r="D10" s="55"/>
      <c r="E10" s="55"/>
      <c r="F10" s="55"/>
      <c r="G10" s="55"/>
      <c r="H10" s="55"/>
      <c r="I10" s="55"/>
    </row>
    <row r="11" spans="1:9" ht="155.25" customHeight="1" x14ac:dyDescent="0.25">
      <c r="A11" s="54" t="s">
        <v>172</v>
      </c>
      <c r="B11" s="54"/>
      <c r="C11" s="54"/>
      <c r="D11" s="54"/>
      <c r="E11" s="54"/>
      <c r="F11" s="54"/>
      <c r="G11" s="54"/>
      <c r="H11" s="54"/>
      <c r="I11" s="54"/>
    </row>
    <row r="12" spans="1:9" ht="24" customHeight="1" x14ac:dyDescent="0.25">
      <c r="A12" s="55" t="s">
        <v>166</v>
      </c>
      <c r="B12" s="55"/>
      <c r="C12" s="55"/>
      <c r="D12" s="55"/>
      <c r="E12" s="55"/>
      <c r="F12" s="55"/>
      <c r="G12" s="55"/>
      <c r="H12" s="55"/>
      <c r="I12" s="55"/>
    </row>
    <row r="13" spans="1:9" ht="103.5" customHeight="1" x14ac:dyDescent="0.25">
      <c r="A13" s="54" t="s">
        <v>171</v>
      </c>
      <c r="B13" s="54"/>
      <c r="C13" s="54"/>
      <c r="D13" s="54"/>
      <c r="E13" s="54"/>
      <c r="F13" s="54"/>
      <c r="G13" s="54"/>
      <c r="H13" s="54"/>
      <c r="I13" s="54"/>
    </row>
    <row r="14" spans="1:9" ht="23.25" customHeight="1" x14ac:dyDescent="0.25">
      <c r="A14" s="55" t="s">
        <v>167</v>
      </c>
      <c r="B14" s="55"/>
      <c r="C14" s="55"/>
      <c r="D14" s="55"/>
      <c r="E14" s="55"/>
      <c r="F14" s="55"/>
      <c r="G14" s="55"/>
      <c r="H14" s="55"/>
      <c r="I14" s="55"/>
    </row>
    <row r="15" spans="1:9" ht="72.75" customHeight="1" x14ac:dyDescent="0.25">
      <c r="A15" s="56" t="s">
        <v>168</v>
      </c>
      <c r="B15" s="56"/>
      <c r="C15" s="56"/>
      <c r="D15" s="56"/>
      <c r="E15" s="56"/>
      <c r="F15" s="56"/>
      <c r="G15" s="56"/>
      <c r="H15" s="56"/>
      <c r="I15" s="56"/>
    </row>
    <row r="16" spans="1:9" ht="69" customHeight="1" x14ac:dyDescent="0.25">
      <c r="A16" s="51"/>
      <c r="B16" s="51"/>
      <c r="C16" s="51"/>
      <c r="D16" s="51"/>
      <c r="E16" s="51"/>
      <c r="F16" s="51"/>
      <c r="G16" s="51"/>
      <c r="H16" s="51"/>
      <c r="I16" s="51"/>
    </row>
    <row r="17" spans="1:9" ht="89.25" customHeight="1" x14ac:dyDescent="0.25">
      <c r="A17" s="51"/>
      <c r="B17" s="51"/>
      <c r="C17" s="51"/>
      <c r="D17" s="51"/>
      <c r="E17" s="51"/>
      <c r="F17" s="51"/>
      <c r="G17" s="51"/>
      <c r="H17" s="51"/>
      <c r="I17" s="51"/>
    </row>
  </sheetData>
  <mergeCells count="17">
    <mergeCell ref="A16:I16"/>
    <mergeCell ref="A17:I17"/>
    <mergeCell ref="A2:I2"/>
    <mergeCell ref="A4:I4"/>
    <mergeCell ref="A6:I6"/>
    <mergeCell ref="A9:I9"/>
    <mergeCell ref="A11:I11"/>
    <mergeCell ref="A12:I12"/>
    <mergeCell ref="A13:I13"/>
    <mergeCell ref="A14:I14"/>
    <mergeCell ref="A15:I15"/>
    <mergeCell ref="A10:I10"/>
    <mergeCell ref="C1:I1"/>
    <mergeCell ref="A3:I3"/>
    <mergeCell ref="A5:I5"/>
    <mergeCell ref="A7:I7"/>
    <mergeCell ref="A8:I8"/>
  </mergeCells>
  <pageMargins left="0.7" right="0.7" top="0.75" bottom="0.75" header="0.3" footer="0.3"/>
  <pageSetup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workbookViewId="0">
      <selection activeCell="A12" sqref="A12:I12"/>
    </sheetView>
  </sheetViews>
  <sheetFormatPr defaultRowHeight="15" x14ac:dyDescent="0.25"/>
  <cols>
    <col min="9" max="9" width="13.140625" customWidth="1"/>
  </cols>
  <sheetData>
    <row r="1" spans="1:9" ht="74.25" customHeight="1" x14ac:dyDescent="0.25">
      <c r="C1" s="89" t="s">
        <v>134</v>
      </c>
      <c r="D1" s="89"/>
      <c r="E1" s="89"/>
      <c r="F1" s="89"/>
      <c r="G1" s="89"/>
      <c r="H1" s="89"/>
      <c r="I1" s="89"/>
    </row>
    <row r="2" spans="1:9" ht="27" customHeight="1" x14ac:dyDescent="0.25">
      <c r="A2" s="52" t="s">
        <v>16</v>
      </c>
      <c r="B2" s="52"/>
      <c r="C2" s="52"/>
      <c r="D2" s="52"/>
      <c r="E2" s="52"/>
      <c r="F2" s="52"/>
      <c r="G2" s="52"/>
      <c r="H2" s="52"/>
      <c r="I2" s="52"/>
    </row>
    <row r="3" spans="1:9" ht="30" customHeight="1" x14ac:dyDescent="0.25">
      <c r="A3" s="53" t="s">
        <v>158</v>
      </c>
      <c r="B3" s="53"/>
      <c r="C3" s="53"/>
      <c r="D3" s="53"/>
      <c r="E3" s="53"/>
      <c r="F3" s="53"/>
      <c r="G3" s="53"/>
      <c r="H3" s="53"/>
      <c r="I3" s="53"/>
    </row>
    <row r="4" spans="1:9" x14ac:dyDescent="0.25">
      <c r="A4" s="31" t="s">
        <v>138</v>
      </c>
    </row>
    <row r="5" spans="1:9" ht="33" customHeight="1" x14ac:dyDescent="0.25">
      <c r="A5" s="51" t="s">
        <v>150</v>
      </c>
      <c r="B5" s="51"/>
      <c r="C5" s="51"/>
      <c r="D5" s="51"/>
      <c r="E5" s="51"/>
      <c r="F5" s="51"/>
      <c r="G5" s="51"/>
      <c r="H5" s="51"/>
      <c r="I5" s="51"/>
    </row>
    <row r="6" spans="1:9" ht="45.75" customHeight="1" x14ac:dyDescent="0.25">
      <c r="A6" s="51" t="s">
        <v>137</v>
      </c>
      <c r="B6" s="51"/>
      <c r="C6" s="51"/>
      <c r="D6" s="51"/>
      <c r="E6" s="51"/>
      <c r="F6" s="51"/>
      <c r="G6" s="51"/>
      <c r="H6" s="51"/>
      <c r="I6" s="51"/>
    </row>
    <row r="7" spans="1:9" x14ac:dyDescent="0.25">
      <c r="A7" s="31" t="s">
        <v>139</v>
      </c>
    </row>
    <row r="8" spans="1:9" ht="35.25" customHeight="1" x14ac:dyDescent="0.25">
      <c r="A8" s="57" t="s">
        <v>151</v>
      </c>
      <c r="B8" s="57"/>
      <c r="C8" s="57"/>
      <c r="D8" s="57"/>
      <c r="E8" s="57"/>
      <c r="F8" s="57"/>
      <c r="G8" s="57"/>
      <c r="H8" s="57"/>
      <c r="I8" s="57"/>
    </row>
    <row r="9" spans="1:9" ht="21.75" customHeight="1" x14ac:dyDescent="0.25">
      <c r="A9" s="59" t="s">
        <v>152</v>
      </c>
      <c r="B9" s="59"/>
      <c r="C9" s="59"/>
      <c r="D9" s="59"/>
      <c r="E9" s="59"/>
      <c r="F9" s="59"/>
      <c r="G9" s="59"/>
      <c r="H9" s="59"/>
      <c r="I9" s="59"/>
    </row>
    <row r="10" spans="1:9" ht="46.5" customHeight="1" x14ac:dyDescent="0.25">
      <c r="A10" s="51" t="s">
        <v>153</v>
      </c>
      <c r="B10" s="51"/>
      <c r="C10" s="51"/>
      <c r="D10" s="51"/>
      <c r="E10" s="51"/>
      <c r="F10" s="51"/>
      <c r="G10" s="51"/>
      <c r="H10" s="51"/>
      <c r="I10" s="51"/>
    </row>
    <row r="11" spans="1:9" x14ac:dyDescent="0.25">
      <c r="A11" s="31" t="s">
        <v>154</v>
      </c>
    </row>
    <row r="12" spans="1:9" ht="96.75" customHeight="1" x14ac:dyDescent="0.25">
      <c r="A12" s="51" t="s">
        <v>155</v>
      </c>
      <c r="B12" s="58"/>
      <c r="C12" s="58"/>
      <c r="D12" s="58"/>
      <c r="E12" s="58"/>
      <c r="F12" s="58"/>
      <c r="G12" s="58"/>
      <c r="H12" s="58"/>
      <c r="I12" s="58"/>
    </row>
    <row r="13" spans="1:9" ht="123.75" customHeight="1" x14ac:dyDescent="0.25">
      <c r="A13" s="51" t="s">
        <v>156</v>
      </c>
      <c r="B13" s="58"/>
      <c r="C13" s="58"/>
      <c r="D13" s="58"/>
      <c r="E13" s="58"/>
      <c r="F13" s="58"/>
      <c r="G13" s="58"/>
      <c r="H13" s="58"/>
      <c r="I13" s="58"/>
    </row>
    <row r="14" spans="1:9" ht="29.25" customHeight="1" x14ac:dyDescent="0.25">
      <c r="A14" s="60" t="s">
        <v>159</v>
      </c>
      <c r="B14" s="60"/>
      <c r="C14" s="60"/>
      <c r="D14" s="60"/>
      <c r="E14" s="60"/>
      <c r="F14" s="60"/>
      <c r="G14" s="60"/>
      <c r="H14" s="60"/>
      <c r="I14" s="60"/>
    </row>
    <row r="15" spans="1:9" ht="49.5" customHeight="1" x14ac:dyDescent="0.25">
      <c r="A15" s="49" t="s">
        <v>157</v>
      </c>
      <c r="B15" s="49"/>
      <c r="C15" s="49"/>
      <c r="D15" s="49"/>
      <c r="E15" s="49"/>
      <c r="F15" s="49"/>
      <c r="G15" s="49"/>
      <c r="H15" s="49"/>
      <c r="I15" s="49"/>
    </row>
    <row r="16" spans="1:9" ht="25.5" customHeight="1" x14ac:dyDescent="0.25">
      <c r="A16" s="53" t="s">
        <v>161</v>
      </c>
      <c r="B16" s="53"/>
      <c r="C16" s="53"/>
      <c r="D16" s="53"/>
      <c r="E16" s="53"/>
      <c r="F16" s="53"/>
      <c r="G16" s="53"/>
      <c r="H16" s="53"/>
      <c r="I16" s="53"/>
    </row>
    <row r="17" spans="1:9" ht="123" customHeight="1" x14ac:dyDescent="0.25">
      <c r="A17" s="49" t="s">
        <v>160</v>
      </c>
      <c r="B17" s="49"/>
      <c r="C17" s="49"/>
      <c r="D17" s="49"/>
      <c r="E17" s="49"/>
      <c r="F17" s="49"/>
      <c r="G17" s="49"/>
      <c r="H17" s="49"/>
      <c r="I17" s="49"/>
    </row>
    <row r="18" spans="1:9" ht="19.5" x14ac:dyDescent="0.25">
      <c r="A18" s="53" t="s">
        <v>162</v>
      </c>
      <c r="B18" s="53"/>
      <c r="C18" s="53"/>
      <c r="D18" s="53"/>
      <c r="E18" s="53"/>
      <c r="F18" s="53"/>
      <c r="G18" s="53"/>
      <c r="H18" s="53"/>
      <c r="I18" s="53"/>
    </row>
    <row r="19" spans="1:9" ht="52.5" customHeight="1" x14ac:dyDescent="0.25">
      <c r="A19" s="61" t="s">
        <v>17</v>
      </c>
      <c r="B19" s="58"/>
      <c r="C19" s="58"/>
      <c r="D19" s="58"/>
      <c r="E19" s="58"/>
      <c r="F19" s="58"/>
      <c r="G19" s="58"/>
      <c r="H19" s="58"/>
      <c r="I19" s="58"/>
    </row>
    <row r="20" spans="1:9" x14ac:dyDescent="0.25">
      <c r="A20" s="51" t="s">
        <v>18</v>
      </c>
      <c r="B20" s="58"/>
      <c r="C20" s="58"/>
      <c r="D20" s="58"/>
      <c r="E20" s="58"/>
      <c r="F20" s="58"/>
      <c r="G20" s="58"/>
      <c r="H20" s="58"/>
      <c r="I20" s="58"/>
    </row>
    <row r="21" spans="1:9" x14ac:dyDescent="0.25">
      <c r="A21" s="51" t="s">
        <v>19</v>
      </c>
      <c r="B21" s="58"/>
      <c r="C21" s="58"/>
      <c r="D21" s="58"/>
      <c r="E21" s="58"/>
      <c r="F21" s="58"/>
      <c r="G21" s="58"/>
      <c r="H21" s="58"/>
      <c r="I21" s="58"/>
    </row>
    <row r="22" spans="1:9" ht="30" customHeight="1" x14ac:dyDescent="0.25">
      <c r="A22" s="62" t="s">
        <v>20</v>
      </c>
      <c r="B22" s="63"/>
      <c r="C22" s="63"/>
      <c r="D22" s="63"/>
      <c r="E22" s="63"/>
      <c r="F22" s="63"/>
      <c r="G22" s="63"/>
      <c r="H22" s="63"/>
      <c r="I22" s="63"/>
    </row>
    <row r="24" spans="1:9" ht="27.75" customHeight="1" x14ac:dyDescent="0.25">
      <c r="A24" s="58"/>
      <c r="B24" s="58"/>
      <c r="C24" s="58"/>
      <c r="D24" s="58"/>
      <c r="E24" s="58"/>
      <c r="F24" s="58"/>
      <c r="G24" s="58"/>
      <c r="H24" s="58"/>
      <c r="I24" s="58"/>
    </row>
  </sheetData>
  <mergeCells count="20">
    <mergeCell ref="A24:I24"/>
    <mergeCell ref="A2:I2"/>
    <mergeCell ref="A9:I9"/>
    <mergeCell ref="A10:I10"/>
    <mergeCell ref="A3:I3"/>
    <mergeCell ref="A14:I14"/>
    <mergeCell ref="A16:I16"/>
    <mergeCell ref="A18:I18"/>
    <mergeCell ref="A13:I13"/>
    <mergeCell ref="A15:I15"/>
    <mergeCell ref="A17:I17"/>
    <mergeCell ref="A19:I19"/>
    <mergeCell ref="A22:I22"/>
    <mergeCell ref="A20:I20"/>
    <mergeCell ref="A21:I21"/>
    <mergeCell ref="C1:I1"/>
    <mergeCell ref="A5:I5"/>
    <mergeCell ref="A6:I6"/>
    <mergeCell ref="A8:I8"/>
    <mergeCell ref="A12:I12"/>
  </mergeCells>
  <pageMargins left="0.7" right="0.7" top="0.75" bottom="0.7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4"/>
  <sheetViews>
    <sheetView workbookViewId="0">
      <selection activeCell="C1" sqref="C1:I1"/>
    </sheetView>
  </sheetViews>
  <sheetFormatPr defaultRowHeight="15" x14ac:dyDescent="0.25"/>
  <cols>
    <col min="9" max="9" width="16" customWidth="1"/>
  </cols>
  <sheetData>
    <row r="1" spans="1:9" ht="72.75" customHeight="1" x14ac:dyDescent="0.25">
      <c r="C1" s="89" t="s">
        <v>134</v>
      </c>
      <c r="D1" s="89"/>
      <c r="E1" s="89"/>
      <c r="F1" s="89"/>
      <c r="G1" s="89"/>
      <c r="H1" s="89"/>
      <c r="I1" s="89"/>
    </row>
    <row r="2" spans="1:9" ht="30.75" customHeight="1" x14ac:dyDescent="0.25">
      <c r="A2" s="53" t="s">
        <v>149</v>
      </c>
      <c r="B2" s="53"/>
      <c r="C2" s="53"/>
      <c r="D2" s="53"/>
      <c r="E2" s="53"/>
      <c r="F2" s="53"/>
      <c r="G2" s="53"/>
      <c r="H2" s="53"/>
      <c r="I2" s="53"/>
    </row>
    <row r="3" spans="1:9" ht="15.75" x14ac:dyDescent="0.25">
      <c r="A3" s="64" t="s">
        <v>147</v>
      </c>
      <c r="B3" s="64"/>
      <c r="C3" s="64"/>
      <c r="D3" s="64"/>
      <c r="E3" s="64"/>
      <c r="F3" s="64"/>
      <c r="G3" s="64"/>
      <c r="H3" s="64"/>
      <c r="I3" s="64"/>
    </row>
    <row r="4" spans="1:9" x14ac:dyDescent="0.25">
      <c r="A4" s="65" t="s">
        <v>21</v>
      </c>
      <c r="B4" s="66"/>
      <c r="C4" s="66"/>
      <c r="D4" s="66"/>
      <c r="E4" s="66"/>
      <c r="F4" s="66"/>
      <c r="G4" s="66"/>
      <c r="H4" s="66"/>
      <c r="I4" s="67"/>
    </row>
    <row r="5" spans="1:9" x14ac:dyDescent="0.25">
      <c r="A5" s="32" t="s">
        <v>22</v>
      </c>
      <c r="B5" s="33"/>
      <c r="C5" s="33"/>
      <c r="D5" s="33"/>
      <c r="E5" s="33"/>
      <c r="F5" s="33"/>
      <c r="G5" s="33"/>
      <c r="H5" s="33"/>
      <c r="I5" s="34"/>
    </row>
    <row r="6" spans="1:9" x14ac:dyDescent="0.25">
      <c r="A6" s="35" t="s">
        <v>23</v>
      </c>
      <c r="B6" s="36"/>
      <c r="C6" s="36"/>
      <c r="D6" s="36"/>
      <c r="E6" s="36"/>
      <c r="F6" s="36"/>
      <c r="G6" s="36"/>
      <c r="H6" s="36"/>
      <c r="I6" s="37"/>
    </row>
    <row r="7" spans="1:9" x14ac:dyDescent="0.25">
      <c r="A7" s="35" t="s">
        <v>24</v>
      </c>
      <c r="B7" s="36"/>
      <c r="C7" s="36"/>
      <c r="D7" s="36"/>
      <c r="E7" s="36"/>
      <c r="F7" s="36"/>
      <c r="G7" s="36"/>
      <c r="H7" s="36"/>
      <c r="I7" s="37"/>
    </row>
    <row r="8" spans="1:9" x14ac:dyDescent="0.25">
      <c r="A8" s="35" t="s">
        <v>25</v>
      </c>
      <c r="B8" s="36"/>
      <c r="C8" s="36"/>
      <c r="D8" s="36"/>
      <c r="E8" s="36"/>
      <c r="F8" s="36"/>
      <c r="G8" s="36"/>
      <c r="H8" s="36"/>
      <c r="I8" s="37"/>
    </row>
    <row r="9" spans="1:9" x14ac:dyDescent="0.25">
      <c r="A9" s="35" t="s">
        <v>26</v>
      </c>
      <c r="B9" s="36"/>
      <c r="C9" s="36"/>
      <c r="D9" s="36"/>
      <c r="E9" s="36"/>
      <c r="F9" s="36"/>
      <c r="G9" s="36"/>
      <c r="H9" s="36"/>
      <c r="I9" s="37"/>
    </row>
    <row r="10" spans="1:9" x14ac:dyDescent="0.25">
      <c r="A10" s="35" t="s">
        <v>27</v>
      </c>
      <c r="B10" s="36"/>
      <c r="C10" s="36"/>
      <c r="D10" s="36"/>
      <c r="E10" s="36"/>
      <c r="F10" s="36"/>
      <c r="G10" s="36"/>
      <c r="H10" s="36"/>
      <c r="I10" s="37"/>
    </row>
    <row r="11" spans="1:9" x14ac:dyDescent="0.25">
      <c r="A11" s="35" t="s">
        <v>28</v>
      </c>
      <c r="B11" s="36"/>
      <c r="C11" s="36"/>
      <c r="D11" s="36"/>
      <c r="E11" s="36"/>
      <c r="F11" s="36"/>
      <c r="G11" s="36"/>
      <c r="H11" s="36"/>
      <c r="I11" s="37"/>
    </row>
    <row r="12" spans="1:9" x14ac:dyDescent="0.25">
      <c r="A12" s="35" t="s">
        <v>29</v>
      </c>
      <c r="B12" s="36"/>
      <c r="C12" s="36"/>
      <c r="D12" s="36"/>
      <c r="E12" s="36"/>
      <c r="F12" s="36"/>
      <c r="G12" s="36"/>
      <c r="H12" s="36"/>
      <c r="I12" s="37"/>
    </row>
    <row r="13" spans="1:9" x14ac:dyDescent="0.25">
      <c r="A13" s="35" t="s">
        <v>30</v>
      </c>
      <c r="B13" s="36"/>
      <c r="C13" s="36"/>
      <c r="D13" s="36"/>
      <c r="E13" s="36"/>
      <c r="F13" s="36"/>
      <c r="G13" s="36"/>
      <c r="H13" s="36"/>
      <c r="I13" s="37"/>
    </row>
    <row r="14" spans="1:9" x14ac:dyDescent="0.25">
      <c r="A14" s="35" t="s">
        <v>31</v>
      </c>
      <c r="B14" s="36"/>
      <c r="C14" s="36"/>
      <c r="D14" s="36"/>
      <c r="E14" s="36"/>
      <c r="F14" s="36"/>
      <c r="G14" s="36"/>
      <c r="H14" s="36"/>
      <c r="I14" s="37"/>
    </row>
    <row r="15" spans="1:9" x14ac:dyDescent="0.25">
      <c r="A15" s="35" t="s">
        <v>32</v>
      </c>
      <c r="B15" s="36"/>
      <c r="C15" s="36"/>
      <c r="D15" s="36"/>
      <c r="E15" s="36"/>
      <c r="F15" s="36"/>
      <c r="G15" s="36"/>
      <c r="H15" s="36"/>
      <c r="I15" s="37"/>
    </row>
    <row r="16" spans="1:9" x14ac:dyDescent="0.25">
      <c r="A16" s="39" t="s">
        <v>33</v>
      </c>
      <c r="B16" s="40"/>
      <c r="C16" s="40"/>
      <c r="D16" s="40"/>
      <c r="E16" s="40"/>
      <c r="F16" s="40"/>
      <c r="G16" s="40"/>
      <c r="H16" s="40"/>
      <c r="I16" s="41"/>
    </row>
    <row r="17" spans="1:9" x14ac:dyDescent="0.25">
      <c r="A17" s="65" t="s">
        <v>34</v>
      </c>
      <c r="B17" s="66"/>
      <c r="C17" s="66"/>
      <c r="D17" s="66"/>
      <c r="E17" s="66"/>
      <c r="F17" s="66"/>
      <c r="G17" s="66"/>
      <c r="H17" s="66"/>
      <c r="I17" s="67"/>
    </row>
    <row r="18" spans="1:9" x14ac:dyDescent="0.25">
      <c r="A18" s="32" t="s">
        <v>35</v>
      </c>
      <c r="B18" s="38"/>
      <c r="C18" s="33"/>
      <c r="D18" s="33"/>
      <c r="E18" s="33"/>
      <c r="F18" s="33"/>
      <c r="G18" s="33"/>
      <c r="H18" s="33"/>
      <c r="I18" s="34"/>
    </row>
    <row r="19" spans="1:9" x14ac:dyDescent="0.25">
      <c r="A19" s="35" t="s">
        <v>36</v>
      </c>
      <c r="B19" s="36"/>
      <c r="C19" s="36"/>
      <c r="D19" s="36"/>
      <c r="E19" s="36"/>
      <c r="F19" s="36"/>
      <c r="G19" s="36"/>
      <c r="H19" s="36"/>
      <c r="I19" s="37"/>
    </row>
    <row r="20" spans="1:9" x14ac:dyDescent="0.25">
      <c r="A20" s="35" t="s">
        <v>37</v>
      </c>
      <c r="B20" s="36"/>
      <c r="C20" s="36"/>
      <c r="D20" s="36"/>
      <c r="E20" s="36"/>
      <c r="F20" s="36"/>
      <c r="G20" s="36"/>
      <c r="H20" s="36"/>
      <c r="I20" s="37"/>
    </row>
    <row r="21" spans="1:9" x14ac:dyDescent="0.25">
      <c r="A21" s="35" t="s">
        <v>38</v>
      </c>
      <c r="B21" s="36"/>
      <c r="C21" s="36"/>
      <c r="D21" s="36"/>
      <c r="E21" s="36"/>
      <c r="F21" s="36"/>
      <c r="G21" s="36"/>
      <c r="H21" s="36"/>
      <c r="I21" s="37"/>
    </row>
    <row r="22" spans="1:9" x14ac:dyDescent="0.25">
      <c r="A22" s="35" t="s">
        <v>39</v>
      </c>
      <c r="B22" s="36"/>
      <c r="C22" s="36"/>
      <c r="D22" s="36"/>
      <c r="E22" s="36"/>
      <c r="F22" s="36"/>
      <c r="G22" s="36"/>
      <c r="H22" s="36"/>
      <c r="I22" s="37"/>
    </row>
    <row r="23" spans="1:9" x14ac:dyDescent="0.25">
      <c r="A23" s="35" t="s">
        <v>40</v>
      </c>
      <c r="B23" s="36"/>
      <c r="C23" s="36"/>
      <c r="D23" s="36"/>
      <c r="E23" s="36"/>
      <c r="F23" s="36"/>
      <c r="G23" s="36"/>
      <c r="H23" s="36"/>
      <c r="I23" s="37"/>
    </row>
    <row r="24" spans="1:9" x14ac:dyDescent="0.25">
      <c r="A24" s="35" t="s">
        <v>41</v>
      </c>
      <c r="B24" s="36"/>
      <c r="C24" s="36"/>
      <c r="D24" s="36"/>
      <c r="E24" s="36"/>
      <c r="F24" s="36"/>
      <c r="G24" s="36"/>
      <c r="H24" s="36"/>
      <c r="I24" s="37"/>
    </row>
    <row r="25" spans="1:9" x14ac:dyDescent="0.25">
      <c r="A25" s="35" t="s">
        <v>42</v>
      </c>
      <c r="B25" s="36"/>
      <c r="C25" s="36"/>
      <c r="D25" s="36"/>
      <c r="E25" s="36"/>
      <c r="F25" s="36"/>
      <c r="G25" s="36"/>
      <c r="H25" s="36"/>
      <c r="I25" s="37"/>
    </row>
    <row r="26" spans="1:9" x14ac:dyDescent="0.25">
      <c r="A26" s="39" t="s">
        <v>43</v>
      </c>
      <c r="B26" s="40"/>
      <c r="C26" s="40"/>
      <c r="D26" s="40"/>
      <c r="E26" s="40"/>
      <c r="F26" s="40"/>
      <c r="G26" s="40"/>
      <c r="H26" s="40"/>
      <c r="I26" s="41"/>
    </row>
    <row r="27" spans="1:9" x14ac:dyDescent="0.25">
      <c r="A27" s="68" t="s">
        <v>44</v>
      </c>
      <c r="B27" s="69"/>
      <c r="C27" s="69"/>
      <c r="D27" s="69"/>
      <c r="E27" s="69"/>
      <c r="F27" s="69"/>
      <c r="G27" s="69"/>
      <c r="H27" s="69"/>
      <c r="I27" s="70"/>
    </row>
    <row r="28" spans="1:9" x14ac:dyDescent="0.25">
      <c r="A28" s="32" t="s">
        <v>45</v>
      </c>
      <c r="B28" s="33"/>
      <c r="C28" s="33"/>
      <c r="D28" s="33"/>
      <c r="E28" s="33"/>
      <c r="F28" s="33"/>
      <c r="G28" s="33"/>
      <c r="H28" s="33"/>
      <c r="I28" s="34"/>
    </row>
    <row r="29" spans="1:9" x14ac:dyDescent="0.25">
      <c r="A29" s="35" t="s">
        <v>46</v>
      </c>
      <c r="B29" s="36"/>
      <c r="C29" s="36"/>
      <c r="D29" s="36"/>
      <c r="E29" s="36"/>
      <c r="F29" s="36"/>
      <c r="G29" s="36"/>
      <c r="H29" s="36"/>
      <c r="I29" s="37"/>
    </row>
    <row r="30" spans="1:9" x14ac:dyDescent="0.25">
      <c r="A30" s="35" t="s">
        <v>47</v>
      </c>
      <c r="B30" s="36"/>
      <c r="C30" s="36"/>
      <c r="D30" s="36"/>
      <c r="E30" s="36"/>
      <c r="F30" s="36"/>
      <c r="G30" s="36"/>
      <c r="H30" s="36"/>
      <c r="I30" s="37"/>
    </row>
    <row r="31" spans="1:9" x14ac:dyDescent="0.25">
      <c r="A31" s="35" t="s">
        <v>48</v>
      </c>
      <c r="B31" s="36"/>
      <c r="C31" s="36"/>
      <c r="D31" s="36"/>
      <c r="E31" s="36"/>
      <c r="F31" s="36"/>
      <c r="G31" s="36"/>
      <c r="H31" s="36"/>
      <c r="I31" s="37"/>
    </row>
    <row r="32" spans="1:9" x14ac:dyDescent="0.25">
      <c r="A32" s="35" t="s">
        <v>49</v>
      </c>
      <c r="B32" s="36"/>
      <c r="C32" s="36"/>
      <c r="D32" s="36"/>
      <c r="E32" s="36"/>
      <c r="F32" s="36"/>
      <c r="G32" s="36"/>
      <c r="H32" s="36"/>
      <c r="I32" s="37"/>
    </row>
    <row r="33" spans="1:9" x14ac:dyDescent="0.25">
      <c r="A33" s="35" t="s">
        <v>50</v>
      </c>
      <c r="B33" s="36"/>
      <c r="C33" s="36"/>
      <c r="D33" s="36"/>
      <c r="E33" s="36"/>
      <c r="F33" s="36"/>
      <c r="G33" s="36"/>
      <c r="H33" s="36"/>
      <c r="I33" s="37"/>
    </row>
    <row r="34" spans="1:9" x14ac:dyDescent="0.25">
      <c r="A34" s="35" t="s">
        <v>51</v>
      </c>
      <c r="B34" s="36"/>
      <c r="C34" s="36"/>
      <c r="D34" s="36"/>
      <c r="E34" s="36"/>
      <c r="F34" s="36"/>
      <c r="G34" s="36"/>
      <c r="H34" s="36"/>
      <c r="I34" s="37"/>
    </row>
    <row r="35" spans="1:9" x14ac:dyDescent="0.25">
      <c r="A35" s="35" t="s">
        <v>52</v>
      </c>
      <c r="B35" s="36"/>
      <c r="C35" s="36"/>
      <c r="D35" s="36"/>
      <c r="E35" s="36"/>
      <c r="F35" s="36"/>
      <c r="G35" s="36"/>
      <c r="H35" s="36"/>
      <c r="I35" s="37"/>
    </row>
    <row r="36" spans="1:9" x14ac:dyDescent="0.25">
      <c r="A36" s="35" t="s">
        <v>53</v>
      </c>
      <c r="B36" s="36"/>
      <c r="C36" s="36"/>
      <c r="D36" s="36"/>
      <c r="E36" s="36"/>
      <c r="F36" s="36"/>
      <c r="G36" s="36"/>
      <c r="H36" s="36"/>
      <c r="I36" s="37"/>
    </row>
    <row r="37" spans="1:9" x14ac:dyDescent="0.25">
      <c r="A37" s="35" t="s">
        <v>54</v>
      </c>
      <c r="B37" s="36"/>
      <c r="C37" s="36"/>
      <c r="D37" s="36"/>
      <c r="E37" s="36"/>
      <c r="F37" s="36"/>
      <c r="G37" s="36"/>
      <c r="H37" s="36"/>
      <c r="I37" s="37"/>
    </row>
    <row r="38" spans="1:9" x14ac:dyDescent="0.25">
      <c r="A38" s="35" t="s">
        <v>55</v>
      </c>
      <c r="B38" s="36"/>
      <c r="C38" s="36"/>
      <c r="D38" s="36"/>
      <c r="E38" s="36"/>
      <c r="F38" s="36"/>
      <c r="G38" s="36"/>
      <c r="H38" s="36"/>
      <c r="I38" s="37"/>
    </row>
    <row r="39" spans="1:9" x14ac:dyDescent="0.25">
      <c r="A39" s="35" t="s">
        <v>56</v>
      </c>
      <c r="B39" s="36"/>
      <c r="C39" s="36"/>
      <c r="D39" s="36"/>
      <c r="E39" s="36"/>
      <c r="F39" s="36"/>
      <c r="G39" s="36"/>
      <c r="H39" s="36"/>
      <c r="I39" s="37"/>
    </row>
    <row r="40" spans="1:9" x14ac:dyDescent="0.25">
      <c r="A40" s="35" t="s">
        <v>57</v>
      </c>
      <c r="B40" s="36"/>
      <c r="C40" s="36"/>
      <c r="D40" s="36"/>
      <c r="E40" s="36"/>
      <c r="F40" s="36"/>
      <c r="G40" s="36"/>
      <c r="H40" s="36"/>
      <c r="I40" s="37"/>
    </row>
    <row r="41" spans="1:9" x14ac:dyDescent="0.25">
      <c r="A41" s="35" t="s">
        <v>58</v>
      </c>
      <c r="B41" s="36"/>
      <c r="C41" s="36"/>
      <c r="D41" s="36"/>
      <c r="E41" s="36"/>
      <c r="F41" s="36"/>
      <c r="G41" s="36"/>
      <c r="H41" s="36"/>
      <c r="I41" s="37"/>
    </row>
    <row r="42" spans="1:9" x14ac:dyDescent="0.25">
      <c r="A42" s="35" t="s">
        <v>59</v>
      </c>
      <c r="B42" s="36"/>
      <c r="C42" s="36"/>
      <c r="D42" s="36"/>
      <c r="E42" s="36"/>
      <c r="F42" s="36"/>
      <c r="G42" s="36"/>
      <c r="H42" s="36"/>
      <c r="I42" s="37"/>
    </row>
    <row r="43" spans="1:9" x14ac:dyDescent="0.25">
      <c r="A43" s="35" t="s">
        <v>60</v>
      </c>
      <c r="B43" s="36"/>
      <c r="C43" s="36"/>
      <c r="D43" s="36"/>
      <c r="E43" s="36"/>
      <c r="F43" s="36"/>
      <c r="G43" s="36"/>
      <c r="H43" s="36"/>
      <c r="I43" s="37"/>
    </row>
    <row r="44" spans="1:9" ht="32.25" customHeight="1" x14ac:dyDescent="0.25">
      <c r="A44" s="74" t="s">
        <v>61</v>
      </c>
      <c r="B44" s="75"/>
      <c r="C44" s="75"/>
      <c r="D44" s="75"/>
      <c r="E44" s="75"/>
      <c r="F44" s="75"/>
      <c r="G44" s="75"/>
      <c r="H44" s="75"/>
      <c r="I44" s="76"/>
    </row>
    <row r="46" spans="1:9" ht="15.75" x14ac:dyDescent="0.25">
      <c r="A46" s="64" t="s">
        <v>148</v>
      </c>
      <c r="B46" s="64"/>
      <c r="C46" s="64"/>
      <c r="D46" s="64"/>
      <c r="E46" s="64"/>
      <c r="F46" s="64"/>
      <c r="G46" s="64"/>
      <c r="H46" s="64"/>
      <c r="I46" s="64"/>
    </row>
    <row r="47" spans="1:9" x14ac:dyDescent="0.25">
      <c r="A47" s="68" t="s">
        <v>21</v>
      </c>
      <c r="B47" s="69"/>
      <c r="C47" s="69"/>
      <c r="D47" s="69"/>
      <c r="E47" s="69"/>
      <c r="F47" s="69"/>
      <c r="G47" s="69"/>
      <c r="H47" s="69"/>
      <c r="I47" s="70"/>
    </row>
    <row r="48" spans="1:9" x14ac:dyDescent="0.25">
      <c r="A48" s="32" t="s">
        <v>64</v>
      </c>
      <c r="B48" s="33"/>
      <c r="C48" s="33"/>
      <c r="D48" s="33"/>
      <c r="E48" s="33"/>
      <c r="F48" s="33"/>
      <c r="G48" s="33"/>
      <c r="H48" s="33"/>
      <c r="I48" s="34"/>
    </row>
    <row r="49" spans="1:9" x14ac:dyDescent="0.25">
      <c r="A49" s="35" t="s">
        <v>65</v>
      </c>
      <c r="B49" s="36"/>
      <c r="C49" s="36"/>
      <c r="D49" s="36"/>
      <c r="E49" s="36"/>
      <c r="F49" s="36"/>
      <c r="G49" s="36"/>
      <c r="H49" s="36"/>
      <c r="I49" s="37"/>
    </row>
    <row r="50" spans="1:9" x14ac:dyDescent="0.25">
      <c r="A50" s="35" t="s">
        <v>66</v>
      </c>
      <c r="B50" s="36"/>
      <c r="C50" s="36"/>
      <c r="D50" s="36"/>
      <c r="E50" s="36"/>
      <c r="F50" s="36"/>
      <c r="G50" s="36"/>
      <c r="H50" s="36"/>
      <c r="I50" s="37"/>
    </row>
    <row r="51" spans="1:9" x14ac:dyDescent="0.25">
      <c r="A51" s="35" t="s">
        <v>67</v>
      </c>
      <c r="B51" s="36"/>
      <c r="C51" s="36"/>
      <c r="D51" s="36"/>
      <c r="E51" s="36"/>
      <c r="F51" s="36"/>
      <c r="G51" s="36"/>
      <c r="H51" s="36"/>
      <c r="I51" s="37"/>
    </row>
    <row r="52" spans="1:9" x14ac:dyDescent="0.25">
      <c r="A52" s="35" t="s">
        <v>68</v>
      </c>
      <c r="B52" s="36"/>
      <c r="C52" s="36"/>
      <c r="D52" s="36"/>
      <c r="E52" s="36"/>
      <c r="F52" s="36"/>
      <c r="G52" s="36"/>
      <c r="H52" s="36"/>
      <c r="I52" s="37"/>
    </row>
    <row r="53" spans="1:9" x14ac:dyDescent="0.25">
      <c r="A53" s="35" t="s">
        <v>69</v>
      </c>
      <c r="B53" s="36"/>
      <c r="C53" s="36"/>
      <c r="D53" s="36"/>
      <c r="E53" s="36"/>
      <c r="F53" s="36"/>
      <c r="G53" s="36"/>
      <c r="H53" s="36"/>
      <c r="I53" s="37"/>
    </row>
    <row r="54" spans="1:9" x14ac:dyDescent="0.25">
      <c r="A54" s="35" t="s">
        <v>70</v>
      </c>
      <c r="B54" s="36"/>
      <c r="C54" s="36"/>
      <c r="D54" s="36"/>
      <c r="E54" s="36"/>
      <c r="F54" s="36"/>
      <c r="G54" s="36"/>
      <c r="H54" s="36"/>
      <c r="I54" s="37"/>
    </row>
    <row r="55" spans="1:9" x14ac:dyDescent="0.25">
      <c r="A55" s="35" t="s">
        <v>71</v>
      </c>
      <c r="B55" s="36"/>
      <c r="C55" s="36"/>
      <c r="D55" s="36"/>
      <c r="E55" s="36"/>
      <c r="F55" s="36"/>
      <c r="G55" s="36"/>
      <c r="H55" s="36"/>
      <c r="I55" s="37"/>
    </row>
    <row r="56" spans="1:9" x14ac:dyDescent="0.25">
      <c r="A56" s="35" t="s">
        <v>72</v>
      </c>
      <c r="B56" s="36"/>
      <c r="C56" s="36"/>
      <c r="D56" s="36"/>
      <c r="E56" s="36"/>
      <c r="F56" s="36"/>
      <c r="G56" s="36"/>
      <c r="H56" s="36"/>
      <c r="I56" s="37"/>
    </row>
    <row r="57" spans="1:9" x14ac:dyDescent="0.25">
      <c r="A57" s="35" t="s">
        <v>73</v>
      </c>
      <c r="B57" s="36"/>
      <c r="C57" s="36"/>
      <c r="D57" s="36"/>
      <c r="E57" s="36"/>
      <c r="F57" s="36"/>
      <c r="G57" s="36"/>
      <c r="H57" s="36"/>
      <c r="I57" s="37"/>
    </row>
    <row r="58" spans="1:9" x14ac:dyDescent="0.25">
      <c r="A58" s="35" t="s">
        <v>74</v>
      </c>
      <c r="B58" s="36"/>
      <c r="C58" s="36"/>
      <c r="D58" s="36"/>
      <c r="E58" s="36"/>
      <c r="F58" s="36"/>
      <c r="G58" s="36"/>
      <c r="H58" s="36"/>
      <c r="I58" s="37"/>
    </row>
    <row r="59" spans="1:9" x14ac:dyDescent="0.25">
      <c r="A59" s="35" t="s">
        <v>75</v>
      </c>
      <c r="B59" s="36"/>
      <c r="C59" s="36"/>
      <c r="D59" s="36"/>
      <c r="E59" s="36"/>
      <c r="F59" s="36"/>
      <c r="G59" s="36"/>
      <c r="H59" s="36"/>
      <c r="I59" s="37"/>
    </row>
    <row r="60" spans="1:9" x14ac:dyDescent="0.25">
      <c r="A60" s="35" t="s">
        <v>76</v>
      </c>
      <c r="B60" s="36"/>
      <c r="C60" s="36"/>
      <c r="D60" s="36"/>
      <c r="E60" s="36"/>
      <c r="F60" s="36"/>
      <c r="G60" s="36"/>
      <c r="H60" s="36"/>
      <c r="I60" s="37"/>
    </row>
    <row r="61" spans="1:9" x14ac:dyDescent="0.25">
      <c r="A61" s="35" t="s">
        <v>77</v>
      </c>
      <c r="B61" s="36"/>
      <c r="C61" s="36"/>
      <c r="D61" s="36"/>
      <c r="E61" s="36"/>
      <c r="F61" s="36"/>
      <c r="G61" s="36"/>
      <c r="H61" s="36"/>
      <c r="I61" s="37"/>
    </row>
    <row r="62" spans="1:9" x14ac:dyDescent="0.25">
      <c r="A62" s="35" t="s">
        <v>78</v>
      </c>
      <c r="B62" s="36"/>
      <c r="C62" s="36"/>
      <c r="D62" s="36"/>
      <c r="E62" s="36"/>
      <c r="F62" s="36"/>
      <c r="G62" s="36"/>
      <c r="H62" s="36"/>
      <c r="I62" s="37"/>
    </row>
    <row r="63" spans="1:9" x14ac:dyDescent="0.25">
      <c r="A63" s="35" t="s">
        <v>79</v>
      </c>
      <c r="B63" s="36"/>
      <c r="C63" s="36"/>
      <c r="D63" s="36"/>
      <c r="E63" s="36"/>
      <c r="F63" s="36"/>
      <c r="G63" s="36"/>
      <c r="H63" s="36"/>
      <c r="I63" s="37"/>
    </row>
    <row r="64" spans="1:9" x14ac:dyDescent="0.25">
      <c r="A64" s="35" t="s">
        <v>80</v>
      </c>
      <c r="B64" s="36"/>
      <c r="C64" s="36"/>
      <c r="D64" s="36"/>
      <c r="E64" s="36"/>
      <c r="F64" s="36"/>
      <c r="G64" s="36"/>
      <c r="H64" s="36"/>
      <c r="I64" s="37"/>
    </row>
    <row r="65" spans="1:9" x14ac:dyDescent="0.25">
      <c r="A65" s="35" t="s">
        <v>81</v>
      </c>
      <c r="B65" s="36"/>
      <c r="C65" s="36"/>
      <c r="D65" s="36"/>
      <c r="E65" s="36"/>
      <c r="F65" s="36"/>
      <c r="G65" s="36"/>
      <c r="H65" s="36"/>
      <c r="I65" s="37"/>
    </row>
    <row r="66" spans="1:9" x14ac:dyDescent="0.25">
      <c r="A66" s="35" t="s">
        <v>26</v>
      </c>
      <c r="B66" s="36"/>
      <c r="C66" s="36"/>
      <c r="D66" s="36"/>
      <c r="E66" s="36"/>
      <c r="F66" s="36"/>
      <c r="G66" s="36"/>
      <c r="H66" s="36"/>
      <c r="I66" s="37"/>
    </row>
    <row r="67" spans="1:9" x14ac:dyDescent="0.25">
      <c r="A67" s="35" t="s">
        <v>82</v>
      </c>
      <c r="B67" s="36"/>
      <c r="C67" s="36"/>
      <c r="D67" s="36"/>
      <c r="E67" s="36"/>
      <c r="F67" s="36"/>
      <c r="G67" s="36"/>
      <c r="H67" s="36"/>
      <c r="I67" s="37"/>
    </row>
    <row r="68" spans="1:9" x14ac:dyDescent="0.25">
      <c r="A68" s="35" t="s">
        <v>30</v>
      </c>
      <c r="B68" s="36"/>
      <c r="C68" s="36"/>
      <c r="D68" s="36"/>
      <c r="E68" s="36"/>
      <c r="F68" s="36"/>
      <c r="G68" s="36"/>
      <c r="H68" s="36"/>
      <c r="I68" s="37"/>
    </row>
    <row r="69" spans="1:9" x14ac:dyDescent="0.25">
      <c r="A69" s="35" t="s">
        <v>83</v>
      </c>
      <c r="B69" s="36"/>
      <c r="C69" s="36"/>
      <c r="D69" s="36"/>
      <c r="E69" s="36"/>
      <c r="F69" s="36"/>
      <c r="G69" s="36"/>
      <c r="H69" s="36"/>
      <c r="I69" s="37"/>
    </row>
    <row r="70" spans="1:9" x14ac:dyDescent="0.25">
      <c r="A70" s="35" t="s">
        <v>32</v>
      </c>
      <c r="B70" s="36"/>
      <c r="C70" s="36"/>
      <c r="D70" s="36"/>
      <c r="E70" s="36"/>
      <c r="F70" s="36"/>
      <c r="G70" s="36"/>
      <c r="H70" s="36"/>
      <c r="I70" s="37"/>
    </row>
    <row r="71" spans="1:9" x14ac:dyDescent="0.25">
      <c r="A71" s="35" t="s">
        <v>84</v>
      </c>
      <c r="B71" s="36"/>
      <c r="C71" s="36"/>
      <c r="D71" s="36"/>
      <c r="E71" s="36"/>
      <c r="F71" s="36"/>
      <c r="G71" s="36"/>
      <c r="H71" s="36"/>
      <c r="I71" s="37"/>
    </row>
    <row r="72" spans="1:9" x14ac:dyDescent="0.25">
      <c r="A72" s="35" t="s">
        <v>85</v>
      </c>
      <c r="B72" s="36"/>
      <c r="C72" s="36"/>
      <c r="D72" s="36"/>
      <c r="E72" s="36"/>
      <c r="F72" s="36"/>
      <c r="G72" s="36"/>
      <c r="H72" s="36"/>
      <c r="I72" s="37"/>
    </row>
    <row r="73" spans="1:9" x14ac:dyDescent="0.25">
      <c r="A73" s="35" t="s">
        <v>86</v>
      </c>
      <c r="B73" s="36"/>
      <c r="C73" s="36"/>
      <c r="D73" s="36"/>
      <c r="E73" s="36"/>
      <c r="F73" s="36"/>
      <c r="G73" s="36"/>
      <c r="H73" s="36"/>
      <c r="I73" s="37"/>
    </row>
    <row r="74" spans="1:9" x14ac:dyDescent="0.25">
      <c r="A74" s="35" t="s">
        <v>87</v>
      </c>
      <c r="B74" s="36"/>
      <c r="C74" s="36"/>
      <c r="D74" s="36"/>
      <c r="E74" s="36"/>
      <c r="F74" s="36"/>
      <c r="G74" s="36"/>
      <c r="H74" s="36"/>
      <c r="I74" s="37"/>
    </row>
    <row r="75" spans="1:9" x14ac:dyDescent="0.25">
      <c r="A75" s="35" t="s">
        <v>88</v>
      </c>
      <c r="B75" s="36"/>
      <c r="C75" s="36"/>
      <c r="D75" s="36"/>
      <c r="E75" s="36"/>
      <c r="F75" s="36"/>
      <c r="G75" s="36"/>
      <c r="H75" s="36"/>
      <c r="I75" s="37"/>
    </row>
    <row r="76" spans="1:9" x14ac:dyDescent="0.25">
      <c r="A76" s="35" t="s">
        <v>89</v>
      </c>
      <c r="B76" s="36"/>
      <c r="C76" s="36"/>
      <c r="D76" s="36"/>
      <c r="E76" s="36"/>
      <c r="F76" s="36"/>
      <c r="G76" s="36"/>
      <c r="H76" s="36"/>
      <c r="I76" s="37"/>
    </row>
    <row r="77" spans="1:9" x14ac:dyDescent="0.25">
      <c r="A77" s="35" t="s">
        <v>90</v>
      </c>
      <c r="B77" s="36"/>
      <c r="C77" s="36"/>
      <c r="D77" s="36"/>
      <c r="E77" s="36"/>
      <c r="F77" s="36"/>
      <c r="G77" s="36"/>
      <c r="H77" s="36"/>
      <c r="I77" s="37"/>
    </row>
    <row r="78" spans="1:9" x14ac:dyDescent="0.25">
      <c r="A78" s="35" t="s">
        <v>22</v>
      </c>
      <c r="B78" s="36"/>
      <c r="C78" s="36"/>
      <c r="D78" s="36"/>
      <c r="E78" s="36"/>
      <c r="F78" s="36"/>
      <c r="G78" s="36"/>
      <c r="H78" s="36"/>
      <c r="I78" s="37"/>
    </row>
    <row r="79" spans="1:9" x14ac:dyDescent="0.25">
      <c r="A79" s="35" t="s">
        <v>91</v>
      </c>
      <c r="B79" s="36"/>
      <c r="C79" s="36"/>
      <c r="D79" s="36"/>
      <c r="E79" s="36"/>
      <c r="F79" s="36"/>
      <c r="G79" s="36"/>
      <c r="H79" s="36"/>
      <c r="I79" s="37"/>
    </row>
    <row r="80" spans="1:9" x14ac:dyDescent="0.25">
      <c r="A80" s="35" t="s">
        <v>92</v>
      </c>
      <c r="B80" s="36"/>
      <c r="C80" s="36"/>
      <c r="D80" s="36"/>
      <c r="E80" s="36"/>
      <c r="F80" s="36"/>
      <c r="G80" s="36"/>
      <c r="H80" s="36"/>
      <c r="I80" s="37"/>
    </row>
    <row r="81" spans="1:9" x14ac:dyDescent="0.25">
      <c r="A81" s="35" t="s">
        <v>93</v>
      </c>
      <c r="B81" s="36"/>
      <c r="C81" s="36"/>
      <c r="D81" s="36"/>
      <c r="E81" s="36"/>
      <c r="F81" s="36"/>
      <c r="G81" s="36"/>
      <c r="H81" s="36"/>
      <c r="I81" s="37"/>
    </row>
    <row r="82" spans="1:9" x14ac:dyDescent="0.25">
      <c r="A82" s="35" t="s">
        <v>94</v>
      </c>
      <c r="B82" s="36"/>
      <c r="C82" s="36"/>
      <c r="D82" s="36"/>
      <c r="E82" s="36"/>
      <c r="F82" s="36"/>
      <c r="G82" s="36"/>
      <c r="H82" s="36"/>
      <c r="I82" s="37"/>
    </row>
    <row r="83" spans="1:9" x14ac:dyDescent="0.25">
      <c r="A83" s="35" t="s">
        <v>24</v>
      </c>
      <c r="B83" s="36"/>
      <c r="C83" s="36"/>
      <c r="D83" s="36"/>
      <c r="E83" s="36"/>
      <c r="F83" s="36"/>
      <c r="G83" s="36"/>
      <c r="H83" s="36"/>
      <c r="I83" s="37"/>
    </row>
    <row r="84" spans="1:9" x14ac:dyDescent="0.25">
      <c r="A84" s="35" t="s">
        <v>95</v>
      </c>
      <c r="B84" s="36"/>
      <c r="C84" s="36"/>
      <c r="D84" s="36"/>
      <c r="E84" s="36"/>
      <c r="F84" s="36"/>
      <c r="G84" s="36"/>
      <c r="H84" s="36"/>
      <c r="I84" s="37"/>
    </row>
    <row r="85" spans="1:9" x14ac:dyDescent="0.25">
      <c r="A85" s="35" t="s">
        <v>96</v>
      </c>
      <c r="B85" s="36"/>
      <c r="C85" s="36"/>
      <c r="D85" s="36"/>
      <c r="E85" s="36"/>
      <c r="F85" s="36"/>
      <c r="G85" s="36"/>
      <c r="H85" s="36"/>
      <c r="I85" s="37"/>
    </row>
    <row r="86" spans="1:9" x14ac:dyDescent="0.25">
      <c r="A86" s="35" t="s">
        <v>97</v>
      </c>
      <c r="B86" s="36"/>
      <c r="C86" s="36"/>
      <c r="D86" s="36"/>
      <c r="E86" s="36"/>
      <c r="F86" s="36"/>
      <c r="G86" s="36"/>
      <c r="H86" s="36"/>
      <c r="I86" s="37"/>
    </row>
    <row r="87" spans="1:9" x14ac:dyDescent="0.25">
      <c r="A87" s="35" t="s">
        <v>98</v>
      </c>
      <c r="B87" s="36"/>
      <c r="C87" s="36"/>
      <c r="D87" s="36"/>
      <c r="E87" s="36"/>
      <c r="F87" s="36"/>
      <c r="G87" s="36"/>
      <c r="H87" s="36"/>
      <c r="I87" s="37"/>
    </row>
    <row r="88" spans="1:9" x14ac:dyDescent="0.25">
      <c r="A88" s="39" t="s">
        <v>99</v>
      </c>
      <c r="B88" s="40"/>
      <c r="C88" s="40"/>
      <c r="D88" s="40"/>
      <c r="E88" s="40"/>
      <c r="F88" s="40"/>
      <c r="G88" s="40"/>
      <c r="H88" s="40"/>
      <c r="I88" s="41"/>
    </row>
    <row r="89" spans="1:9" x14ac:dyDescent="0.25">
      <c r="A89" s="68" t="s">
        <v>34</v>
      </c>
      <c r="B89" s="69"/>
      <c r="C89" s="69"/>
      <c r="D89" s="69"/>
      <c r="E89" s="69"/>
      <c r="F89" s="69"/>
      <c r="G89" s="69"/>
      <c r="H89" s="69"/>
      <c r="I89" s="70"/>
    </row>
    <row r="90" spans="1:9" x14ac:dyDescent="0.25">
      <c r="A90" s="32" t="s">
        <v>100</v>
      </c>
      <c r="B90" s="33"/>
      <c r="C90" s="33"/>
      <c r="D90" s="33"/>
      <c r="E90" s="33"/>
      <c r="F90" s="33"/>
      <c r="G90" s="33"/>
      <c r="H90" s="33"/>
      <c r="I90" s="34"/>
    </row>
    <row r="91" spans="1:9" x14ac:dyDescent="0.25">
      <c r="A91" s="35" t="s">
        <v>101</v>
      </c>
      <c r="B91" s="36"/>
      <c r="C91" s="36"/>
      <c r="D91" s="36"/>
      <c r="E91" s="36"/>
      <c r="F91" s="36"/>
      <c r="G91" s="36"/>
      <c r="H91" s="36"/>
      <c r="I91" s="37"/>
    </row>
    <row r="92" spans="1:9" x14ac:dyDescent="0.25">
      <c r="A92" s="35" t="s">
        <v>102</v>
      </c>
      <c r="B92" s="36"/>
      <c r="C92" s="36"/>
      <c r="D92" s="36"/>
      <c r="E92" s="36"/>
      <c r="F92" s="36"/>
      <c r="G92" s="36"/>
      <c r="H92" s="36"/>
      <c r="I92" s="37"/>
    </row>
    <row r="93" spans="1:9" x14ac:dyDescent="0.25">
      <c r="A93" s="35" t="s">
        <v>103</v>
      </c>
      <c r="B93" s="36"/>
      <c r="C93" s="36"/>
      <c r="D93" s="36"/>
      <c r="E93" s="36"/>
      <c r="F93" s="36"/>
      <c r="G93" s="36"/>
      <c r="H93" s="36"/>
      <c r="I93" s="37"/>
    </row>
    <row r="94" spans="1:9" x14ac:dyDescent="0.25">
      <c r="A94" s="35" t="s">
        <v>104</v>
      </c>
      <c r="B94" s="36"/>
      <c r="C94" s="36"/>
      <c r="D94" s="36"/>
      <c r="E94" s="36"/>
      <c r="F94" s="36"/>
      <c r="G94" s="36"/>
      <c r="H94" s="36"/>
      <c r="I94" s="37"/>
    </row>
    <row r="95" spans="1:9" x14ac:dyDescent="0.25">
      <c r="A95" s="35" t="s">
        <v>105</v>
      </c>
      <c r="B95" s="36"/>
      <c r="C95" s="36"/>
      <c r="D95" s="36"/>
      <c r="E95" s="36"/>
      <c r="F95" s="36"/>
      <c r="G95" s="36"/>
      <c r="H95" s="36"/>
      <c r="I95" s="37"/>
    </row>
    <row r="96" spans="1:9" x14ac:dyDescent="0.25">
      <c r="A96" s="35" t="s">
        <v>106</v>
      </c>
      <c r="B96" s="36"/>
      <c r="C96" s="36"/>
      <c r="D96" s="36"/>
      <c r="E96" s="36"/>
      <c r="F96" s="36"/>
      <c r="G96" s="36"/>
      <c r="H96" s="36"/>
      <c r="I96" s="37"/>
    </row>
    <row r="97" spans="1:9" x14ac:dyDescent="0.25">
      <c r="A97" s="35" t="s">
        <v>107</v>
      </c>
      <c r="B97" s="36"/>
      <c r="C97" s="36"/>
      <c r="D97" s="36"/>
      <c r="E97" s="36"/>
      <c r="F97" s="36"/>
      <c r="G97" s="36"/>
      <c r="H97" s="36"/>
      <c r="I97" s="37"/>
    </row>
    <row r="98" spans="1:9" x14ac:dyDescent="0.25">
      <c r="A98" s="35" t="s">
        <v>108</v>
      </c>
      <c r="B98" s="36"/>
      <c r="C98" s="36"/>
      <c r="D98" s="36"/>
      <c r="E98" s="36"/>
      <c r="F98" s="36"/>
      <c r="G98" s="36"/>
      <c r="H98" s="36"/>
      <c r="I98" s="37"/>
    </row>
    <row r="99" spans="1:9" x14ac:dyDescent="0.25">
      <c r="A99" s="39" t="s">
        <v>109</v>
      </c>
      <c r="B99" s="40"/>
      <c r="C99" s="40"/>
      <c r="D99" s="40"/>
      <c r="E99" s="40"/>
      <c r="F99" s="40"/>
      <c r="G99" s="40"/>
      <c r="H99" s="40"/>
      <c r="I99" s="41"/>
    </row>
    <row r="100" spans="1:9" x14ac:dyDescent="0.25">
      <c r="A100" s="71" t="s">
        <v>44</v>
      </c>
      <c r="B100" s="72"/>
      <c r="C100" s="72"/>
      <c r="D100" s="72"/>
      <c r="E100" s="72"/>
      <c r="F100" s="72"/>
      <c r="G100" s="72"/>
      <c r="H100" s="72"/>
      <c r="I100" s="73"/>
    </row>
    <row r="101" spans="1:9" x14ac:dyDescent="0.25">
      <c r="A101" s="42" t="s">
        <v>110</v>
      </c>
      <c r="B101" s="33"/>
      <c r="C101" s="33"/>
      <c r="D101" s="33"/>
      <c r="E101" s="33"/>
      <c r="F101" s="33"/>
      <c r="G101" s="33"/>
      <c r="H101" s="33"/>
      <c r="I101" s="34"/>
    </row>
    <row r="102" spans="1:9" x14ac:dyDescent="0.25">
      <c r="A102" s="35" t="s">
        <v>111</v>
      </c>
      <c r="B102" s="36"/>
      <c r="C102" s="36"/>
      <c r="D102" s="36"/>
      <c r="E102" s="36"/>
      <c r="F102" s="36"/>
      <c r="G102" s="36"/>
      <c r="H102" s="36"/>
      <c r="I102" s="37"/>
    </row>
    <row r="103" spans="1:9" x14ac:dyDescent="0.25">
      <c r="A103" s="35" t="s">
        <v>112</v>
      </c>
      <c r="B103" s="36"/>
      <c r="C103" s="36"/>
      <c r="D103" s="36"/>
      <c r="E103" s="36"/>
      <c r="F103" s="36"/>
      <c r="G103" s="36"/>
      <c r="H103" s="36"/>
      <c r="I103" s="37"/>
    </row>
    <row r="104" spans="1:9" x14ac:dyDescent="0.25">
      <c r="A104" s="35" t="s">
        <v>113</v>
      </c>
      <c r="B104" s="36"/>
      <c r="C104" s="36"/>
      <c r="D104" s="36"/>
      <c r="E104" s="36"/>
      <c r="F104" s="36"/>
      <c r="G104" s="36"/>
      <c r="H104" s="36"/>
      <c r="I104" s="37"/>
    </row>
    <row r="105" spans="1:9" x14ac:dyDescent="0.25">
      <c r="A105" s="35" t="s">
        <v>114</v>
      </c>
      <c r="B105" s="36"/>
      <c r="C105" s="36"/>
      <c r="D105" s="36"/>
      <c r="E105" s="36"/>
      <c r="F105" s="36"/>
      <c r="G105" s="36"/>
      <c r="H105" s="36"/>
      <c r="I105" s="37"/>
    </row>
    <row r="106" spans="1:9" x14ac:dyDescent="0.25">
      <c r="A106" s="35" t="s">
        <v>115</v>
      </c>
      <c r="B106" s="36"/>
      <c r="C106" s="36"/>
      <c r="D106" s="36"/>
      <c r="E106" s="36"/>
      <c r="F106" s="36"/>
      <c r="G106" s="36"/>
      <c r="H106" s="36"/>
      <c r="I106" s="37"/>
    </row>
    <row r="107" spans="1:9" x14ac:dyDescent="0.25">
      <c r="A107" s="35" t="s">
        <v>116</v>
      </c>
      <c r="B107" s="36"/>
      <c r="C107" s="36"/>
      <c r="D107" s="36"/>
      <c r="E107" s="36"/>
      <c r="F107" s="36"/>
      <c r="G107" s="36"/>
      <c r="H107" s="36"/>
      <c r="I107" s="37"/>
    </row>
    <row r="108" spans="1:9" x14ac:dyDescent="0.25">
      <c r="A108" s="35" t="s">
        <v>117</v>
      </c>
      <c r="B108" s="36"/>
      <c r="C108" s="36"/>
      <c r="D108" s="36"/>
      <c r="E108" s="36"/>
      <c r="F108" s="36"/>
      <c r="G108" s="36"/>
      <c r="H108" s="36"/>
      <c r="I108" s="37"/>
    </row>
    <row r="109" spans="1:9" x14ac:dyDescent="0.25">
      <c r="A109" s="35" t="s">
        <v>118</v>
      </c>
      <c r="B109" s="36"/>
      <c r="C109" s="36"/>
      <c r="D109" s="36"/>
      <c r="E109" s="36"/>
      <c r="F109" s="36"/>
      <c r="G109" s="36"/>
      <c r="H109" s="36"/>
      <c r="I109" s="37"/>
    </row>
    <row r="110" spans="1:9" x14ac:dyDescent="0.25">
      <c r="A110" s="35" t="s">
        <v>119</v>
      </c>
      <c r="B110" s="36"/>
      <c r="C110" s="36"/>
      <c r="D110" s="36"/>
      <c r="E110" s="36"/>
      <c r="F110" s="36"/>
      <c r="G110" s="36"/>
      <c r="H110" s="36"/>
      <c r="I110" s="37"/>
    </row>
    <row r="111" spans="1:9" x14ac:dyDescent="0.25">
      <c r="A111" s="35" t="s">
        <v>120</v>
      </c>
      <c r="B111" s="36"/>
      <c r="C111" s="36"/>
      <c r="D111" s="36"/>
      <c r="E111" s="36"/>
      <c r="F111" s="36"/>
      <c r="G111" s="36"/>
      <c r="H111" s="36"/>
      <c r="I111" s="37"/>
    </row>
    <row r="112" spans="1:9" x14ac:dyDescent="0.25">
      <c r="A112" s="35" t="s">
        <v>121</v>
      </c>
      <c r="B112" s="36"/>
      <c r="C112" s="36"/>
      <c r="D112" s="36"/>
      <c r="E112" s="36"/>
      <c r="F112" s="36"/>
      <c r="G112" s="36"/>
      <c r="H112" s="36"/>
      <c r="I112" s="37"/>
    </row>
    <row r="113" spans="1:9" x14ac:dyDescent="0.25">
      <c r="A113" s="35" t="s">
        <v>122</v>
      </c>
      <c r="B113" s="36"/>
      <c r="C113" s="36"/>
      <c r="D113" s="36"/>
      <c r="E113" s="36"/>
      <c r="F113" s="36"/>
      <c r="G113" s="36"/>
      <c r="H113" s="36"/>
      <c r="I113" s="37"/>
    </row>
    <row r="114" spans="1:9" x14ac:dyDescent="0.25">
      <c r="A114" s="35" t="s">
        <v>123</v>
      </c>
      <c r="B114" s="36"/>
      <c r="C114" s="36"/>
      <c r="D114" s="36"/>
      <c r="E114" s="36"/>
      <c r="F114" s="36"/>
      <c r="G114" s="36"/>
      <c r="H114" s="36"/>
      <c r="I114" s="37"/>
    </row>
    <row r="115" spans="1:9" x14ac:dyDescent="0.25">
      <c r="A115" s="35" t="s">
        <v>124</v>
      </c>
      <c r="B115" s="36"/>
      <c r="C115" s="36"/>
      <c r="D115" s="36"/>
      <c r="E115" s="36"/>
      <c r="F115" s="36"/>
      <c r="G115" s="36"/>
      <c r="H115" s="36"/>
      <c r="I115" s="37"/>
    </row>
    <row r="116" spans="1:9" x14ac:dyDescent="0.25">
      <c r="A116" s="35" t="s">
        <v>125</v>
      </c>
      <c r="B116" s="36"/>
      <c r="C116" s="36"/>
      <c r="D116" s="36"/>
      <c r="E116" s="36"/>
      <c r="F116" s="36"/>
      <c r="G116" s="36"/>
      <c r="H116" s="36"/>
      <c r="I116" s="37"/>
    </row>
    <row r="117" spans="1:9" x14ac:dyDescent="0.25">
      <c r="A117" s="35" t="s">
        <v>126</v>
      </c>
      <c r="B117" s="36"/>
      <c r="C117" s="36"/>
      <c r="D117" s="36"/>
      <c r="E117" s="36"/>
      <c r="F117" s="36"/>
      <c r="G117" s="36"/>
      <c r="H117" s="36"/>
      <c r="I117" s="37"/>
    </row>
    <row r="118" spans="1:9" x14ac:dyDescent="0.25">
      <c r="A118" s="35" t="s">
        <v>127</v>
      </c>
      <c r="B118" s="36"/>
      <c r="C118" s="36"/>
      <c r="D118" s="36"/>
      <c r="E118" s="36"/>
      <c r="F118" s="36"/>
      <c r="G118" s="36"/>
      <c r="H118" s="36"/>
      <c r="I118" s="37"/>
    </row>
    <row r="119" spans="1:9" x14ac:dyDescent="0.25">
      <c r="A119" s="35" t="s">
        <v>128</v>
      </c>
      <c r="B119" s="36"/>
      <c r="C119" s="36"/>
      <c r="D119" s="36"/>
      <c r="E119" s="36"/>
      <c r="F119" s="36"/>
      <c r="G119" s="36"/>
      <c r="H119" s="36"/>
      <c r="I119" s="37"/>
    </row>
    <row r="120" spans="1:9" x14ac:dyDescent="0.25">
      <c r="A120" s="35" t="s">
        <v>129</v>
      </c>
      <c r="B120" s="36"/>
      <c r="C120" s="36"/>
      <c r="D120" s="36"/>
      <c r="E120" s="36"/>
      <c r="F120" s="36"/>
      <c r="G120" s="36"/>
      <c r="H120" s="36"/>
      <c r="I120" s="37"/>
    </row>
    <row r="121" spans="1:9" x14ac:dyDescent="0.25">
      <c r="A121" s="35" t="s">
        <v>130</v>
      </c>
      <c r="B121" s="36"/>
      <c r="C121" s="36"/>
      <c r="D121" s="36"/>
      <c r="E121" s="36"/>
      <c r="F121" s="36"/>
      <c r="G121" s="36"/>
      <c r="H121" s="36"/>
      <c r="I121" s="37"/>
    </row>
    <row r="122" spans="1:9" x14ac:dyDescent="0.25">
      <c r="A122" s="35" t="s">
        <v>131</v>
      </c>
      <c r="B122" s="36"/>
      <c r="C122" s="36"/>
      <c r="D122" s="36"/>
      <c r="E122" s="36"/>
      <c r="F122" s="36"/>
      <c r="G122" s="36"/>
      <c r="H122" s="36"/>
      <c r="I122" s="37"/>
    </row>
    <row r="123" spans="1:9" x14ac:dyDescent="0.25">
      <c r="A123" s="35" t="s">
        <v>132</v>
      </c>
      <c r="B123" s="36"/>
      <c r="C123" s="36"/>
      <c r="D123" s="36"/>
      <c r="E123" s="36"/>
      <c r="F123" s="36"/>
      <c r="G123" s="36"/>
      <c r="H123" s="36"/>
      <c r="I123" s="37"/>
    </row>
    <row r="124" spans="1:9" x14ac:dyDescent="0.25">
      <c r="A124" s="39" t="s">
        <v>133</v>
      </c>
      <c r="B124" s="40"/>
      <c r="C124" s="40"/>
      <c r="D124" s="40"/>
      <c r="E124" s="40"/>
      <c r="F124" s="40"/>
      <c r="G124" s="40"/>
      <c r="H124" s="40"/>
      <c r="I124" s="41"/>
    </row>
  </sheetData>
  <mergeCells count="11">
    <mergeCell ref="A17:I17"/>
    <mergeCell ref="A47:I47"/>
    <mergeCell ref="A27:I27"/>
    <mergeCell ref="A89:I89"/>
    <mergeCell ref="A100:I100"/>
    <mergeCell ref="A44:I44"/>
    <mergeCell ref="C1:I1"/>
    <mergeCell ref="A3:I3"/>
    <mergeCell ref="A46:I46"/>
    <mergeCell ref="A4:I4"/>
    <mergeCell ref="A2:I2"/>
  </mergeCells>
  <pageMargins left="0.7" right="0.7"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9"/>
  <sheetViews>
    <sheetView showGridLines="0" zoomScale="80" zoomScaleNormal="80" workbookViewId="0">
      <selection activeCell="B1" sqref="B1:J1"/>
    </sheetView>
  </sheetViews>
  <sheetFormatPr defaultRowHeight="15.75" x14ac:dyDescent="0.25"/>
  <cols>
    <col min="1" max="1" width="30.140625" style="3" customWidth="1"/>
    <col min="2" max="2" width="13.5703125" style="3" bestFit="1" customWidth="1"/>
    <col min="3" max="5" width="15.7109375" style="3" customWidth="1"/>
    <col min="6" max="6" width="19.42578125" style="3" customWidth="1"/>
    <col min="7" max="8" width="15.7109375" style="3" customWidth="1"/>
    <col min="9" max="9" width="20.140625" style="3" customWidth="1"/>
    <col min="10" max="10" width="19.85546875" style="3" customWidth="1"/>
  </cols>
  <sheetData>
    <row r="1" spans="1:10" ht="80.25" customHeight="1" x14ac:dyDescent="0.25">
      <c r="B1" s="90" t="s">
        <v>173</v>
      </c>
      <c r="C1" s="90"/>
      <c r="D1" s="90"/>
      <c r="E1" s="90"/>
      <c r="F1" s="90"/>
      <c r="G1" s="90"/>
      <c r="H1" s="90"/>
      <c r="I1" s="90"/>
      <c r="J1" s="90"/>
    </row>
    <row r="2" spans="1:10" ht="22.5" customHeight="1" x14ac:dyDescent="0.35">
      <c r="A2" s="91" t="s">
        <v>163</v>
      </c>
      <c r="B2" s="91"/>
      <c r="C2" s="91"/>
      <c r="D2" s="91"/>
      <c r="E2" s="91"/>
      <c r="F2" s="91"/>
      <c r="G2" s="91"/>
      <c r="H2" s="91"/>
      <c r="I2" s="91"/>
      <c r="J2" s="91"/>
    </row>
    <row r="3" spans="1:10" s="4" customFormat="1" ht="23.25" x14ac:dyDescent="0.35">
      <c r="A3" s="81" t="s">
        <v>143</v>
      </c>
      <c r="B3" s="81"/>
      <c r="C3" s="81"/>
      <c r="D3" s="81"/>
      <c r="E3" s="81"/>
      <c r="F3" s="81"/>
      <c r="G3" s="81"/>
      <c r="H3" s="81"/>
      <c r="I3" s="81"/>
      <c r="J3" s="81"/>
    </row>
    <row r="4" spans="1:10" ht="21" x14ac:dyDescent="0.35">
      <c r="A4" s="78">
        <v>2018</v>
      </c>
      <c r="B4" s="78"/>
      <c r="C4" s="78"/>
      <c r="D4" s="78"/>
      <c r="E4" s="78"/>
      <c r="F4" s="78"/>
      <c r="G4" s="78"/>
      <c r="H4" s="78"/>
      <c r="I4" s="78"/>
      <c r="J4" s="78"/>
    </row>
    <row r="5" spans="1:10" s="1" customFormat="1" x14ac:dyDescent="0.25">
      <c r="A5" s="79"/>
      <c r="B5" s="80"/>
      <c r="C5" s="29" t="s">
        <v>5</v>
      </c>
      <c r="D5" s="29" t="s">
        <v>6</v>
      </c>
      <c r="E5" s="29" t="s">
        <v>7</v>
      </c>
      <c r="F5" s="29" t="s">
        <v>8</v>
      </c>
      <c r="G5" s="29" t="s">
        <v>3</v>
      </c>
      <c r="H5" s="29" t="s">
        <v>4</v>
      </c>
      <c r="I5" s="29" t="s">
        <v>10</v>
      </c>
      <c r="J5" s="29" t="s">
        <v>12</v>
      </c>
    </row>
    <row r="6" spans="1:10" x14ac:dyDescent="0.25">
      <c r="A6" s="77" t="s">
        <v>0</v>
      </c>
      <c r="B6" s="22" t="s">
        <v>1</v>
      </c>
      <c r="C6" s="7">
        <v>17095189.780000001</v>
      </c>
      <c r="D6" s="7">
        <v>15669935.039999999</v>
      </c>
      <c r="E6" s="7">
        <v>16705515.92</v>
      </c>
      <c r="F6" s="7">
        <v>16052203.43</v>
      </c>
      <c r="G6" s="7">
        <v>15679828.949999999</v>
      </c>
      <c r="H6" s="7">
        <v>15518019.41</v>
      </c>
      <c r="I6" s="7">
        <f>SUM(C6:H6)</f>
        <v>96720692.530000001</v>
      </c>
      <c r="J6" s="8">
        <f>I6/(445157993.19)</f>
        <v>0.21727273015340012</v>
      </c>
    </row>
    <row r="7" spans="1:10" x14ac:dyDescent="0.25">
      <c r="A7" s="77"/>
      <c r="B7" s="22" t="s">
        <v>2</v>
      </c>
      <c r="C7" s="7">
        <v>2813073.56</v>
      </c>
      <c r="D7" s="7">
        <v>2667122.25</v>
      </c>
      <c r="E7" s="7">
        <v>2629478.23</v>
      </c>
      <c r="F7" s="7">
        <v>3270308.69</v>
      </c>
      <c r="G7" s="7">
        <v>2620572.34</v>
      </c>
      <c r="H7" s="7">
        <v>2663197.5299999998</v>
      </c>
      <c r="I7" s="7">
        <f>SUM(C7:H7)</f>
        <v>16663752.6</v>
      </c>
      <c r="J7" s="8">
        <f>I7/(61626616.61)</f>
        <v>0.27039862833060374</v>
      </c>
    </row>
    <row r="8" spans="1:10" ht="6" customHeight="1" x14ac:dyDescent="0.25">
      <c r="A8" s="30"/>
      <c r="B8" s="30"/>
      <c r="C8" s="10"/>
      <c r="D8" s="10"/>
      <c r="E8" s="10"/>
      <c r="F8" s="10"/>
      <c r="G8" s="10"/>
      <c r="H8" s="10"/>
      <c r="I8" s="10"/>
      <c r="J8" s="11"/>
    </row>
    <row r="9" spans="1:10" x14ac:dyDescent="0.25">
      <c r="A9" s="77" t="s">
        <v>9</v>
      </c>
      <c r="B9" s="22" t="s">
        <v>1</v>
      </c>
      <c r="C9" s="7">
        <v>25883762.59</v>
      </c>
      <c r="D9" s="7">
        <v>25464011.949999999</v>
      </c>
      <c r="E9" s="7">
        <v>29052130.870000001</v>
      </c>
      <c r="F9" s="7">
        <v>29423082.91</v>
      </c>
      <c r="G9" s="7">
        <v>30999620.789999999</v>
      </c>
      <c r="H9" s="7">
        <v>30470565.800000001</v>
      </c>
      <c r="I9" s="7">
        <f>SUM(C9:H9)</f>
        <v>171293174.91</v>
      </c>
      <c r="J9" s="8">
        <f>I9/(252362412.87)</f>
        <v>0.6787586667997132</v>
      </c>
    </row>
    <row r="10" spans="1:10" x14ac:dyDescent="0.25">
      <c r="A10" s="77"/>
      <c r="B10" s="22" t="s">
        <v>2</v>
      </c>
      <c r="C10" s="7">
        <v>13440569.779999999</v>
      </c>
      <c r="D10" s="7">
        <v>13331619.93</v>
      </c>
      <c r="E10" s="7">
        <v>14229783.939999999</v>
      </c>
      <c r="F10" s="7">
        <v>14713981.35</v>
      </c>
      <c r="G10" s="7">
        <v>15159969.41</v>
      </c>
      <c r="H10" s="7">
        <v>15369708.439999999</v>
      </c>
      <c r="I10" s="7">
        <f>SUM(C10:H10)</f>
        <v>86245632.849999994</v>
      </c>
      <c r="J10" s="8">
        <f>I10/(108855147.75)</f>
        <v>0.79229723750018977</v>
      </c>
    </row>
    <row r="11" spans="1:10" ht="5.25" customHeight="1" x14ac:dyDescent="0.25">
      <c r="A11" s="30"/>
      <c r="B11" s="30"/>
      <c r="C11" s="10"/>
      <c r="D11" s="10"/>
      <c r="E11" s="10"/>
      <c r="F11" s="10"/>
      <c r="G11" s="10"/>
      <c r="H11" s="10"/>
      <c r="I11" s="10"/>
      <c r="J11" s="10"/>
    </row>
    <row r="12" spans="1:10" ht="36.75" customHeight="1" x14ac:dyDescent="0.25">
      <c r="A12" s="82" t="s">
        <v>13</v>
      </c>
      <c r="B12" s="82"/>
      <c r="C12" s="83">
        <v>17862872.560000002</v>
      </c>
      <c r="D12" s="83">
        <v>17932582.780000001</v>
      </c>
      <c r="E12" s="83">
        <v>17657139.039999999</v>
      </c>
      <c r="F12" s="83">
        <v>17283997.899999999</v>
      </c>
      <c r="G12" s="83">
        <v>19484980.359999999</v>
      </c>
      <c r="H12" s="83">
        <v>19622726.699999999</v>
      </c>
      <c r="I12" s="83">
        <f>SUM(C12:H12)</f>
        <v>109844299.34</v>
      </c>
      <c r="J12" s="84">
        <f>I12/(47285292.7+77408917)</f>
        <v>0.88090938307618949</v>
      </c>
    </row>
    <row r="13" spans="1:10" s="2" customFormat="1" ht="21.6" customHeight="1" x14ac:dyDescent="0.25">
      <c r="A13" s="16" t="s">
        <v>10</v>
      </c>
      <c r="B13" s="16"/>
      <c r="C13" s="17">
        <f>SUM(C6:C12)</f>
        <v>77095468.270000011</v>
      </c>
      <c r="D13" s="17">
        <f t="shared" ref="D13:I13" si="0">SUM(D6:D12)</f>
        <v>75065271.949999988</v>
      </c>
      <c r="E13" s="17">
        <f t="shared" si="0"/>
        <v>80274048</v>
      </c>
      <c r="F13" s="17">
        <f t="shared" si="0"/>
        <v>80743574.280000001</v>
      </c>
      <c r="G13" s="17">
        <f t="shared" si="0"/>
        <v>83944971.849999994</v>
      </c>
      <c r="H13" s="17">
        <f t="shared" si="0"/>
        <v>83644217.879999995</v>
      </c>
      <c r="I13" s="17">
        <f t="shared" si="0"/>
        <v>480767552.23000002</v>
      </c>
      <c r="J13" s="18">
        <v>0.63831762564694916</v>
      </c>
    </row>
    <row r="14" spans="1:10" s="2" customFormat="1" ht="21" x14ac:dyDescent="0.35">
      <c r="A14" s="78">
        <v>2019</v>
      </c>
      <c r="B14" s="78"/>
      <c r="C14" s="78"/>
      <c r="D14" s="78"/>
      <c r="E14" s="78"/>
      <c r="F14" s="78"/>
      <c r="G14" s="78"/>
      <c r="H14" s="78"/>
      <c r="I14" s="78"/>
      <c r="J14" s="78"/>
    </row>
    <row r="15" spans="1:10" s="1" customFormat="1" x14ac:dyDescent="0.25">
      <c r="A15" s="85"/>
      <c r="B15" s="85"/>
      <c r="C15" s="86" t="s">
        <v>5</v>
      </c>
      <c r="D15" s="86" t="s">
        <v>6</v>
      </c>
      <c r="E15" s="86" t="s">
        <v>7</v>
      </c>
      <c r="F15" s="86" t="s">
        <v>8</v>
      </c>
      <c r="G15" s="86" t="s">
        <v>3</v>
      </c>
      <c r="H15" s="86" t="s">
        <v>4</v>
      </c>
      <c r="I15" s="86" t="s">
        <v>10</v>
      </c>
      <c r="J15" s="86" t="s">
        <v>12</v>
      </c>
    </row>
    <row r="16" spans="1:10" x14ac:dyDescent="0.25">
      <c r="A16" s="77" t="s">
        <v>0</v>
      </c>
      <c r="B16" s="22" t="s">
        <v>1</v>
      </c>
      <c r="C16" s="7">
        <v>14997368.4</v>
      </c>
      <c r="D16" s="7">
        <v>13203524.41</v>
      </c>
      <c r="E16" s="7">
        <v>13268380.01</v>
      </c>
      <c r="F16" s="7">
        <v>13071378.439999999</v>
      </c>
      <c r="G16" s="7">
        <v>12475355.66</v>
      </c>
      <c r="H16" s="7">
        <v>12614670.449999999</v>
      </c>
      <c r="I16" s="7">
        <f t="shared" ref="I16:I22" si="1">SUM(C16:H16)</f>
        <v>79630677.370000005</v>
      </c>
      <c r="J16" s="8">
        <f>I16/(402124087.72)</f>
        <v>0.19802513652314963</v>
      </c>
    </row>
    <row r="17" spans="1:10" x14ac:dyDescent="0.25">
      <c r="A17" s="77"/>
      <c r="B17" s="22" t="s">
        <v>2</v>
      </c>
      <c r="C17" s="7">
        <v>2601547.56</v>
      </c>
      <c r="D17" s="7">
        <v>2239906.31</v>
      </c>
      <c r="E17" s="7">
        <v>2189217.15</v>
      </c>
      <c r="F17" s="7">
        <v>2103565.35</v>
      </c>
      <c r="G17" s="7">
        <v>2233132.67</v>
      </c>
      <c r="H17" s="7">
        <v>2213411.21</v>
      </c>
      <c r="I17" s="7">
        <f t="shared" si="1"/>
        <v>13580780.25</v>
      </c>
      <c r="J17" s="8">
        <f>I17/(54920934.04)</f>
        <v>0.24727875604061741</v>
      </c>
    </row>
    <row r="18" spans="1:10" ht="6" customHeight="1" x14ac:dyDescent="0.25">
      <c r="A18" s="30"/>
      <c r="B18" s="30"/>
      <c r="C18" s="10"/>
      <c r="D18" s="10"/>
      <c r="E18" s="10"/>
      <c r="F18" s="10"/>
      <c r="G18" s="10"/>
      <c r="H18" s="10"/>
      <c r="I18" s="10"/>
      <c r="J18" s="11"/>
    </row>
    <row r="19" spans="1:10" x14ac:dyDescent="0.25">
      <c r="A19" s="77" t="s">
        <v>9</v>
      </c>
      <c r="B19" s="22" t="s">
        <v>1</v>
      </c>
      <c r="C19" s="7">
        <v>29884487.530000001</v>
      </c>
      <c r="D19" s="7">
        <v>28934774.18</v>
      </c>
      <c r="E19" s="7">
        <v>26583964.27</v>
      </c>
      <c r="F19" s="7">
        <v>31089531.27</v>
      </c>
      <c r="G19" s="7">
        <v>28413458.77</v>
      </c>
      <c r="H19" s="7">
        <v>26126269.449999999</v>
      </c>
      <c r="I19" s="7">
        <f t="shared" si="1"/>
        <v>171032485.47</v>
      </c>
      <c r="J19" s="8">
        <f>I19/(252943766.38)</f>
        <v>0.67616801915195712</v>
      </c>
    </row>
    <row r="20" spans="1:10" x14ac:dyDescent="0.25">
      <c r="A20" s="77"/>
      <c r="B20" s="22" t="s">
        <v>2</v>
      </c>
      <c r="C20" s="7">
        <v>14846852.380000001</v>
      </c>
      <c r="D20" s="7">
        <v>14037502.01</v>
      </c>
      <c r="E20" s="7">
        <v>12673181.470000001</v>
      </c>
      <c r="F20" s="7">
        <v>14429828.300000001</v>
      </c>
      <c r="G20" s="7">
        <v>13570998.92</v>
      </c>
      <c r="H20" s="7">
        <v>12305959.300000001</v>
      </c>
      <c r="I20" s="7">
        <f t="shared" si="1"/>
        <v>81864322.379999995</v>
      </c>
      <c r="J20" s="8">
        <f>I20/(103508040.63)</f>
        <v>0.79089819381889692</v>
      </c>
    </row>
    <row r="21" spans="1:10" ht="5.25" customHeight="1" x14ac:dyDescent="0.25">
      <c r="A21" s="30"/>
      <c r="B21" s="30"/>
      <c r="C21" s="10"/>
      <c r="D21" s="10"/>
      <c r="E21" s="10"/>
      <c r="F21" s="10"/>
      <c r="G21" s="10"/>
      <c r="H21" s="10"/>
      <c r="I21" s="10"/>
      <c r="J21" s="10"/>
    </row>
    <row r="22" spans="1:10" ht="42.75" customHeight="1" x14ac:dyDescent="0.25">
      <c r="A22" s="16" t="s">
        <v>13</v>
      </c>
      <c r="B22" s="16"/>
      <c r="C22" s="13">
        <v>19751910.57</v>
      </c>
      <c r="D22" s="13">
        <v>18448949.02</v>
      </c>
      <c r="E22" s="13">
        <v>18434090.899999999</v>
      </c>
      <c r="F22" s="13">
        <v>22978651.969999999</v>
      </c>
      <c r="G22" s="13">
        <v>20827105.59</v>
      </c>
      <c r="H22" s="13">
        <v>18932283.73</v>
      </c>
      <c r="I22" s="13">
        <f t="shared" si="1"/>
        <v>119372991.78000002</v>
      </c>
      <c r="J22" s="14">
        <f>I22/(54200515.63+84362103.71)</f>
        <v>0.86150934753251762</v>
      </c>
    </row>
    <row r="23" spans="1:10" ht="5.45" customHeight="1" x14ac:dyDescent="0.25">
      <c r="A23" s="6"/>
      <c r="B23" s="6"/>
      <c r="C23" s="20"/>
      <c r="D23" s="20"/>
      <c r="E23" s="20"/>
      <c r="F23" s="20"/>
      <c r="G23" s="20"/>
      <c r="H23" s="20"/>
      <c r="I23" s="20"/>
      <c r="J23" s="20"/>
    </row>
    <row r="24" spans="1:10" x14ac:dyDescent="0.25">
      <c r="A24" s="16" t="s">
        <v>10</v>
      </c>
      <c r="B24" s="16"/>
      <c r="C24" s="17">
        <f>SUM(C16:C22)</f>
        <v>82082166.439999998</v>
      </c>
      <c r="D24" s="17">
        <f t="shared" ref="D24:I24" si="2">SUM(D16:D22)</f>
        <v>76864655.929999992</v>
      </c>
      <c r="E24" s="17">
        <f t="shared" si="2"/>
        <v>73148833.799999997</v>
      </c>
      <c r="F24" s="17">
        <f t="shared" si="2"/>
        <v>83672955.329999998</v>
      </c>
      <c r="G24" s="17">
        <f t="shared" si="2"/>
        <v>77520051.609999999</v>
      </c>
      <c r="H24" s="17">
        <f t="shared" si="2"/>
        <v>72192594.140000001</v>
      </c>
      <c r="I24" s="17">
        <f t="shared" si="2"/>
        <v>465481257.25000006</v>
      </c>
      <c r="J24" s="18">
        <v>0.64956665682103398</v>
      </c>
    </row>
    <row r="25" spans="1:10" ht="5.45" customHeight="1" x14ac:dyDescent="0.25">
      <c r="A25" s="16"/>
      <c r="B25" s="16"/>
      <c r="C25" s="17"/>
      <c r="D25" s="17"/>
      <c r="E25" s="17"/>
      <c r="F25" s="17"/>
      <c r="G25" s="17"/>
      <c r="H25" s="17"/>
      <c r="I25" s="17"/>
      <c r="J25" s="24"/>
    </row>
    <row r="26" spans="1:10" s="4" customFormat="1" ht="23.25" x14ac:dyDescent="0.35">
      <c r="A26" s="81" t="s">
        <v>141</v>
      </c>
      <c r="B26" s="81"/>
      <c r="C26" s="81"/>
      <c r="D26" s="81"/>
      <c r="E26" s="81"/>
      <c r="F26" s="81"/>
      <c r="G26" s="81"/>
      <c r="H26" s="81"/>
      <c r="I26" s="81"/>
      <c r="J26" s="81"/>
    </row>
    <row r="27" spans="1:10" ht="21" x14ac:dyDescent="0.35">
      <c r="A27" s="78">
        <v>2018</v>
      </c>
      <c r="B27" s="78"/>
      <c r="C27" s="78"/>
      <c r="D27" s="78"/>
      <c r="E27" s="78"/>
      <c r="F27" s="78"/>
      <c r="G27" s="78"/>
      <c r="H27" s="78"/>
      <c r="I27" s="78"/>
      <c r="J27" s="78"/>
    </row>
    <row r="28" spans="1:10" s="1" customFormat="1" x14ac:dyDescent="0.25">
      <c r="A28" s="5"/>
      <c r="B28" s="5"/>
      <c r="C28" s="29" t="s">
        <v>5</v>
      </c>
      <c r="D28" s="29" t="s">
        <v>6</v>
      </c>
      <c r="E28" s="29" t="s">
        <v>7</v>
      </c>
      <c r="F28" s="29" t="s">
        <v>8</v>
      </c>
      <c r="G28" s="29" t="s">
        <v>3</v>
      </c>
      <c r="H28" s="29" t="s">
        <v>4</v>
      </c>
      <c r="I28" s="29" t="s">
        <v>10</v>
      </c>
      <c r="J28" s="29" t="s">
        <v>12</v>
      </c>
    </row>
    <row r="29" spans="1:10" x14ac:dyDescent="0.25">
      <c r="A29" s="77" t="s">
        <v>0</v>
      </c>
      <c r="B29" s="22" t="s">
        <v>1</v>
      </c>
      <c r="C29" s="7">
        <v>23583089.98</v>
      </c>
      <c r="D29" s="7">
        <v>20387229.559999999</v>
      </c>
      <c r="E29" s="7">
        <v>21664893.710000001</v>
      </c>
      <c r="F29" s="7">
        <v>19935020.789999999</v>
      </c>
      <c r="G29" s="7">
        <v>20285395.739999998</v>
      </c>
      <c r="H29" s="7">
        <v>19699245.57</v>
      </c>
      <c r="I29" s="7">
        <f>SUM(C29:H29)</f>
        <v>125554875.34999999</v>
      </c>
      <c r="J29" s="8">
        <f>I29/(445157993.19)</f>
        <v>0.28204564956876182</v>
      </c>
    </row>
    <row r="30" spans="1:10" x14ac:dyDescent="0.25">
      <c r="A30" s="77"/>
      <c r="B30" s="22" t="s">
        <v>2</v>
      </c>
      <c r="C30" s="7">
        <v>3684242.29</v>
      </c>
      <c r="D30" s="7">
        <v>3526427.68</v>
      </c>
      <c r="E30" s="7">
        <v>3353846.14</v>
      </c>
      <c r="F30" s="7">
        <v>3986259.97</v>
      </c>
      <c r="G30" s="7">
        <v>3422011.61</v>
      </c>
      <c r="H30" s="7">
        <v>3468571.27</v>
      </c>
      <c r="I30" s="7">
        <f>SUM(C30:H30)</f>
        <v>21441358.960000001</v>
      </c>
      <c r="J30" s="8">
        <f>I30/(61626616.61)</f>
        <v>0.34792367550680631</v>
      </c>
    </row>
    <row r="31" spans="1:10" ht="6" customHeight="1" x14ac:dyDescent="0.25">
      <c r="A31" s="30"/>
      <c r="B31" s="30"/>
      <c r="C31" s="10"/>
      <c r="D31" s="10"/>
      <c r="E31" s="10"/>
      <c r="F31" s="10"/>
      <c r="G31" s="10"/>
      <c r="H31" s="10"/>
      <c r="I31" s="10"/>
      <c r="J31" s="11"/>
    </row>
    <row r="32" spans="1:10" x14ac:dyDescent="0.25">
      <c r="A32" s="77" t="s">
        <v>9</v>
      </c>
      <c r="B32" s="22" t="s">
        <v>1</v>
      </c>
      <c r="C32" s="7">
        <v>28444164.210000001</v>
      </c>
      <c r="D32" s="7">
        <v>28175534.600000001</v>
      </c>
      <c r="E32" s="7">
        <v>31543444.43</v>
      </c>
      <c r="F32" s="7">
        <v>32059320.859999999</v>
      </c>
      <c r="G32" s="7">
        <v>34131458.850000001</v>
      </c>
      <c r="H32" s="7">
        <v>33743220.810000002</v>
      </c>
      <c r="I32" s="7">
        <f>SUM(C32:H32)</f>
        <v>188097143.76000002</v>
      </c>
      <c r="J32" s="8">
        <f>I32/(252362412.87)</f>
        <v>0.74534532151939326</v>
      </c>
    </row>
    <row r="33" spans="1:10" x14ac:dyDescent="0.25">
      <c r="A33" s="77"/>
      <c r="B33" s="22" t="s">
        <v>2</v>
      </c>
      <c r="C33" s="7">
        <v>14722512</v>
      </c>
      <c r="D33" s="7">
        <v>14580663.83</v>
      </c>
      <c r="E33" s="7">
        <v>15401592.449999999</v>
      </c>
      <c r="F33" s="7">
        <v>16014589.880000001</v>
      </c>
      <c r="G33" s="7">
        <v>16778892.649999999</v>
      </c>
      <c r="H33" s="7">
        <v>16964612.199999999</v>
      </c>
      <c r="I33" s="7">
        <f>SUM(C33:H33)</f>
        <v>94462863.010000005</v>
      </c>
      <c r="J33" s="8">
        <f>I33/(108855147.75)</f>
        <v>0.86778498732045495</v>
      </c>
    </row>
    <row r="34" spans="1:10" ht="6.75" customHeight="1" x14ac:dyDescent="0.25">
      <c r="A34" s="30"/>
      <c r="B34" s="30"/>
      <c r="C34" s="10"/>
      <c r="D34" s="10"/>
      <c r="E34" s="10"/>
      <c r="F34" s="10"/>
      <c r="G34" s="10"/>
      <c r="H34" s="10"/>
      <c r="I34" s="10"/>
      <c r="J34" s="10"/>
    </row>
    <row r="35" spans="1:10" ht="47.25" customHeight="1" x14ac:dyDescent="0.25">
      <c r="A35" s="16" t="s">
        <v>13</v>
      </c>
      <c r="B35" s="16"/>
      <c r="C35" s="13">
        <v>18271477.990000002</v>
      </c>
      <c r="D35" s="13">
        <v>18346210.420000002</v>
      </c>
      <c r="E35" s="13">
        <v>17909822.98</v>
      </c>
      <c r="F35" s="13">
        <v>17662049.48</v>
      </c>
      <c r="G35" s="13">
        <v>19892995.109999999</v>
      </c>
      <c r="H35" s="13">
        <v>19932895.449999999</v>
      </c>
      <c r="I35" s="13">
        <f>SUM(C35:H35)</f>
        <v>112015451.43000001</v>
      </c>
      <c r="J35" s="14">
        <f>I35/(47285292.7+77408917)</f>
        <v>0.89832119470099181</v>
      </c>
    </row>
    <row r="36" spans="1:10" ht="24.6" customHeight="1" x14ac:dyDescent="0.25">
      <c r="A36" s="16" t="s">
        <v>10</v>
      </c>
      <c r="B36" s="16"/>
      <c r="C36" s="17">
        <f t="shared" ref="C36:G36" si="3">SUM(C29:C35)</f>
        <v>88705486.469999999</v>
      </c>
      <c r="D36" s="17">
        <f t="shared" si="3"/>
        <v>85016066.090000004</v>
      </c>
      <c r="E36" s="17">
        <f t="shared" si="3"/>
        <v>89873599.710000008</v>
      </c>
      <c r="F36" s="17">
        <f t="shared" si="3"/>
        <v>89657240.980000004</v>
      </c>
      <c r="G36" s="17">
        <f t="shared" si="3"/>
        <v>94510753.959999993</v>
      </c>
      <c r="H36" s="17">
        <f>SUM(H29:H35)</f>
        <v>93808545.300000012</v>
      </c>
      <c r="I36" s="17">
        <f>SUM(I29:I35)</f>
        <v>541571692.50999999</v>
      </c>
      <c r="J36" s="18">
        <v>0.67519924411617893</v>
      </c>
    </row>
    <row r="37" spans="1:10" ht="21" x14ac:dyDescent="0.35">
      <c r="A37" s="78">
        <v>2019</v>
      </c>
      <c r="B37" s="78"/>
      <c r="C37" s="78"/>
      <c r="D37" s="78"/>
      <c r="E37" s="78"/>
      <c r="F37" s="78"/>
      <c r="G37" s="78"/>
      <c r="H37" s="78"/>
      <c r="I37" s="78"/>
      <c r="J37" s="78"/>
    </row>
    <row r="38" spans="1:10" s="1" customFormat="1" x14ac:dyDescent="0.25">
      <c r="A38" s="5"/>
      <c r="B38" s="5"/>
      <c r="C38" s="29" t="s">
        <v>5</v>
      </c>
      <c r="D38" s="29" t="s">
        <v>6</v>
      </c>
      <c r="E38" s="29" t="s">
        <v>7</v>
      </c>
      <c r="F38" s="29" t="s">
        <v>8</v>
      </c>
      <c r="G38" s="29" t="s">
        <v>3</v>
      </c>
      <c r="H38" s="29" t="s">
        <v>4</v>
      </c>
      <c r="I38" s="29" t="s">
        <v>10</v>
      </c>
      <c r="J38" s="29" t="s">
        <v>12</v>
      </c>
    </row>
    <row r="39" spans="1:10" x14ac:dyDescent="0.25">
      <c r="A39" s="77" t="s">
        <v>0</v>
      </c>
      <c r="B39" s="22" t="s">
        <v>1</v>
      </c>
      <c r="C39" s="7">
        <v>19396236.379999999</v>
      </c>
      <c r="D39" s="7">
        <v>18749181.510000002</v>
      </c>
      <c r="E39" s="7">
        <v>17966557.43</v>
      </c>
      <c r="F39" s="7">
        <v>18068734.109999999</v>
      </c>
      <c r="G39" s="7">
        <v>15436417.689999999</v>
      </c>
      <c r="H39" s="7">
        <v>16655003.49</v>
      </c>
      <c r="I39" s="7">
        <f t="shared" ref="I39:I45" si="4">SUM(C39:H39)</f>
        <v>106272130.61</v>
      </c>
      <c r="J39" s="8">
        <f>I39/(402124087.72)</f>
        <v>0.26427695792249467</v>
      </c>
    </row>
    <row r="40" spans="1:10" x14ac:dyDescent="0.25">
      <c r="A40" s="77"/>
      <c r="B40" s="22" t="s">
        <v>2</v>
      </c>
      <c r="C40" s="7">
        <v>3415044.31</v>
      </c>
      <c r="D40" s="7">
        <v>3099886.09</v>
      </c>
      <c r="E40" s="7">
        <v>2997299.58</v>
      </c>
      <c r="F40" s="7">
        <v>2813472.99</v>
      </c>
      <c r="G40" s="7">
        <v>2835910.31</v>
      </c>
      <c r="H40" s="7">
        <v>2794268.84</v>
      </c>
      <c r="I40" s="7">
        <f t="shared" si="4"/>
        <v>17955882.120000001</v>
      </c>
      <c r="J40" s="8">
        <f>I40/(54920934.04)</f>
        <v>0.32694058165366191</v>
      </c>
    </row>
    <row r="41" spans="1:10" ht="5.25" customHeight="1" x14ac:dyDescent="0.25">
      <c r="A41" s="30"/>
      <c r="B41" s="30"/>
      <c r="C41" s="10"/>
      <c r="D41" s="10"/>
      <c r="E41" s="10"/>
      <c r="F41" s="10"/>
      <c r="G41" s="10"/>
      <c r="H41" s="10"/>
      <c r="I41" s="10"/>
      <c r="J41" s="11"/>
    </row>
    <row r="42" spans="1:10" x14ac:dyDescent="0.25">
      <c r="A42" s="77" t="s">
        <v>9</v>
      </c>
      <c r="B42" s="22" t="s">
        <v>1</v>
      </c>
      <c r="C42" s="7">
        <v>33161441.66</v>
      </c>
      <c r="D42" s="7">
        <v>31702600.449999999</v>
      </c>
      <c r="E42" s="7">
        <v>28849401.370000001</v>
      </c>
      <c r="F42" s="7">
        <v>34198212.020000003</v>
      </c>
      <c r="G42" s="7">
        <v>31207393.52</v>
      </c>
      <c r="H42" s="7">
        <v>28760296.949999999</v>
      </c>
      <c r="I42" s="7">
        <f t="shared" si="4"/>
        <v>187879345.97</v>
      </c>
      <c r="J42" s="8">
        <f>I42/(252943766.38)</f>
        <v>0.7427712042831961</v>
      </c>
    </row>
    <row r="43" spans="1:10" x14ac:dyDescent="0.25">
      <c r="A43" s="77"/>
      <c r="B43" s="22" t="s">
        <v>2</v>
      </c>
      <c r="C43" s="7">
        <v>16261813.220000001</v>
      </c>
      <c r="D43" s="7">
        <v>15336768.960000001</v>
      </c>
      <c r="E43" s="7">
        <v>13752570.529999999</v>
      </c>
      <c r="F43" s="7">
        <v>15785016.130000001</v>
      </c>
      <c r="G43" s="7">
        <v>14737292.73</v>
      </c>
      <c r="H43" s="7">
        <v>13576862.66</v>
      </c>
      <c r="I43" s="7">
        <f t="shared" si="4"/>
        <v>89450324.230000004</v>
      </c>
      <c r="J43" s="8">
        <f>I43/(103508040.63)</f>
        <v>0.86418720406223581</v>
      </c>
    </row>
    <row r="44" spans="1:10" ht="4.5" customHeight="1" x14ac:dyDescent="0.25">
      <c r="A44" s="30"/>
      <c r="B44" s="30"/>
      <c r="C44" s="10"/>
      <c r="D44" s="10"/>
      <c r="E44" s="10"/>
      <c r="F44" s="10"/>
      <c r="G44" s="10"/>
      <c r="H44" s="10"/>
      <c r="I44" s="10"/>
      <c r="J44" s="10"/>
    </row>
    <row r="45" spans="1:10" ht="48.75" customHeight="1" x14ac:dyDescent="0.25">
      <c r="A45" s="16" t="s">
        <v>13</v>
      </c>
      <c r="B45" s="16"/>
      <c r="C45" s="13">
        <v>20360963.16</v>
      </c>
      <c r="D45" s="13">
        <v>19123942.420000002</v>
      </c>
      <c r="E45" s="13">
        <v>19144615.200000003</v>
      </c>
      <c r="F45" s="13">
        <v>23911478.629999999</v>
      </c>
      <c r="G45" s="13">
        <v>21627390.379999999</v>
      </c>
      <c r="H45" s="13">
        <v>19930405.91</v>
      </c>
      <c r="I45" s="13">
        <f t="shared" si="4"/>
        <v>124098795.69999999</v>
      </c>
      <c r="J45" s="14">
        <f>I45/(54200515.63+84362103.71)</f>
        <v>0.89561525533441888</v>
      </c>
    </row>
    <row r="46" spans="1:10" ht="4.9000000000000004" customHeight="1" x14ac:dyDescent="0.25">
      <c r="A46" s="6"/>
      <c r="B46" s="6"/>
      <c r="C46" s="20"/>
      <c r="D46" s="20"/>
      <c r="E46" s="20"/>
      <c r="F46" s="20"/>
      <c r="G46" s="20"/>
      <c r="H46" s="20"/>
      <c r="I46" s="20"/>
      <c r="J46" s="7"/>
    </row>
    <row r="47" spans="1:10" x14ac:dyDescent="0.25">
      <c r="A47" s="16" t="s">
        <v>10</v>
      </c>
      <c r="B47" s="16"/>
      <c r="C47" s="17">
        <f>SUM(C39:C45)</f>
        <v>92595498.729999989</v>
      </c>
      <c r="D47" s="17">
        <f t="shared" ref="D47:I47" si="5">SUM(D39:D45)</f>
        <v>88012379.429999992</v>
      </c>
      <c r="E47" s="17">
        <f t="shared" si="5"/>
        <v>82710444.109999999</v>
      </c>
      <c r="F47" s="17">
        <f t="shared" si="5"/>
        <v>94776913.879999995</v>
      </c>
      <c r="G47" s="17">
        <f t="shared" si="5"/>
        <v>85844404.629999995</v>
      </c>
      <c r="H47" s="17">
        <f t="shared" si="5"/>
        <v>81716837.849999994</v>
      </c>
      <c r="I47" s="17">
        <f t="shared" si="5"/>
        <v>525656478.63</v>
      </c>
      <c r="J47" s="27">
        <v>0.68857469642479674</v>
      </c>
    </row>
    <row r="48" spans="1:10" x14ac:dyDescent="0.25">
      <c r="A48" s="87"/>
      <c r="B48" s="87"/>
      <c r="C48" s="87"/>
      <c r="D48" s="87"/>
      <c r="E48" s="87"/>
      <c r="F48" s="87"/>
      <c r="G48" s="87"/>
      <c r="H48" s="87"/>
      <c r="I48" s="87"/>
      <c r="J48" s="87"/>
    </row>
    <row r="49" spans="1:10" ht="23.25" x14ac:dyDescent="0.35">
      <c r="A49" s="81" t="s">
        <v>142</v>
      </c>
      <c r="B49" s="81"/>
      <c r="C49" s="81"/>
      <c r="D49" s="81"/>
      <c r="E49" s="81"/>
      <c r="F49" s="81"/>
      <c r="G49" s="81"/>
      <c r="H49" s="81"/>
      <c r="I49" s="81"/>
      <c r="J49" s="81"/>
    </row>
    <row r="50" spans="1:10" ht="21" x14ac:dyDescent="0.35">
      <c r="A50" s="78">
        <v>2018</v>
      </c>
      <c r="B50" s="78"/>
      <c r="C50" s="78"/>
      <c r="D50" s="78"/>
      <c r="E50" s="78"/>
      <c r="F50" s="78"/>
      <c r="G50" s="78"/>
      <c r="H50" s="78"/>
      <c r="I50" s="78"/>
      <c r="J50" s="78"/>
    </row>
    <row r="51" spans="1:10" x14ac:dyDescent="0.25">
      <c r="A51" s="5"/>
      <c r="B51" s="5"/>
      <c r="C51" s="29" t="s">
        <v>5</v>
      </c>
      <c r="D51" s="29" t="s">
        <v>6</v>
      </c>
      <c r="E51" s="29" t="s">
        <v>7</v>
      </c>
      <c r="F51" s="29" t="s">
        <v>8</v>
      </c>
      <c r="G51" s="29" t="s">
        <v>3</v>
      </c>
      <c r="H51" s="29" t="s">
        <v>4</v>
      </c>
      <c r="I51" s="29" t="s">
        <v>10</v>
      </c>
      <c r="J51" s="29" t="s">
        <v>12</v>
      </c>
    </row>
    <row r="52" spans="1:10" x14ac:dyDescent="0.25">
      <c r="A52" s="77" t="s">
        <v>0</v>
      </c>
      <c r="B52" s="22" t="s">
        <v>1</v>
      </c>
      <c r="C52" s="7">
        <v>16308993.33</v>
      </c>
      <c r="D52" s="7">
        <v>14957584.359999999</v>
      </c>
      <c r="E52" s="7">
        <v>16134187.49</v>
      </c>
      <c r="F52" s="7">
        <v>15483168.699999999</v>
      </c>
      <c r="G52" s="7">
        <v>15107380.9</v>
      </c>
      <c r="H52" s="7">
        <v>15009916.26</v>
      </c>
      <c r="I52" s="7">
        <f>SUM(C52:H52)</f>
        <v>93001231.040000007</v>
      </c>
      <c r="J52" s="8">
        <f>I52/(430727345.86)</f>
        <v>0.21591670910587679</v>
      </c>
    </row>
    <row r="53" spans="1:10" x14ac:dyDescent="0.25">
      <c r="A53" s="77"/>
      <c r="B53" s="22" t="s">
        <v>2</v>
      </c>
      <c r="C53" s="7">
        <v>1980905.04</v>
      </c>
      <c r="D53" s="7">
        <v>1955351.81</v>
      </c>
      <c r="E53" s="7">
        <v>1963844.16</v>
      </c>
      <c r="F53" s="7">
        <v>2608275.42</v>
      </c>
      <c r="G53" s="7">
        <v>2034633.88</v>
      </c>
      <c r="H53" s="7">
        <v>2036401.47</v>
      </c>
      <c r="I53" s="7">
        <f>SUM(C53:H53)</f>
        <v>12579411.779999999</v>
      </c>
      <c r="J53" s="8">
        <f>I53/(47508238.56)</f>
        <v>0.26478379669060914</v>
      </c>
    </row>
    <row r="54" spans="1:10" x14ac:dyDescent="0.25">
      <c r="A54" s="30"/>
      <c r="B54" s="30"/>
      <c r="C54" s="10"/>
      <c r="D54" s="10"/>
      <c r="E54" s="10"/>
      <c r="F54" s="10"/>
      <c r="G54" s="10"/>
      <c r="H54" s="10"/>
      <c r="I54" s="10"/>
      <c r="J54" s="11"/>
    </row>
    <row r="55" spans="1:10" x14ac:dyDescent="0.25">
      <c r="A55" s="77" t="s">
        <v>9</v>
      </c>
      <c r="B55" s="22" t="s">
        <v>1</v>
      </c>
      <c r="C55" s="7">
        <v>19873391.27</v>
      </c>
      <c r="D55" s="7">
        <v>20263107.620000001</v>
      </c>
      <c r="E55" s="7">
        <v>23576264.170000002</v>
      </c>
      <c r="F55" s="7">
        <v>24431096.969999999</v>
      </c>
      <c r="G55" s="7">
        <v>25948105.739999998</v>
      </c>
      <c r="H55" s="7">
        <v>25987217.219999999</v>
      </c>
      <c r="I55" s="7">
        <f>SUM(C55:H55)</f>
        <v>140079182.99000001</v>
      </c>
      <c r="J55" s="8">
        <f>I55/(206539246.59)</f>
        <v>0.67822065444089896</v>
      </c>
    </row>
    <row r="56" spans="1:10" x14ac:dyDescent="0.25">
      <c r="A56" s="77"/>
      <c r="B56" s="22" t="s">
        <v>2</v>
      </c>
      <c r="C56" s="7">
        <v>9172332.0199999996</v>
      </c>
      <c r="D56" s="7">
        <v>9534103.7899999991</v>
      </c>
      <c r="E56" s="7">
        <v>10514484.49</v>
      </c>
      <c r="F56" s="7">
        <v>10883301.4</v>
      </c>
      <c r="G56" s="7">
        <v>11401290.460000001</v>
      </c>
      <c r="H56" s="7">
        <v>11750084.84</v>
      </c>
      <c r="I56" s="7">
        <f>SUM(C56:H56)</f>
        <v>63255597</v>
      </c>
      <c r="J56" s="8">
        <f>I56/(77860450.48)</f>
        <v>0.8124226948346317</v>
      </c>
    </row>
    <row r="57" spans="1:10" x14ac:dyDescent="0.25">
      <c r="A57" s="30"/>
      <c r="B57" s="30"/>
      <c r="C57" s="10"/>
      <c r="D57" s="10"/>
      <c r="E57" s="10"/>
      <c r="F57" s="10"/>
      <c r="G57" s="10"/>
      <c r="H57" s="10"/>
      <c r="I57" s="10"/>
      <c r="J57" s="10"/>
    </row>
    <row r="58" spans="1:10" ht="31.5" x14ac:dyDescent="0.25">
      <c r="A58" s="16" t="s">
        <v>13</v>
      </c>
      <c r="B58" s="16"/>
      <c r="C58" s="13">
        <v>8690166.6699999999</v>
      </c>
      <c r="D58" s="13">
        <v>10339903.890000001</v>
      </c>
      <c r="E58" s="13">
        <v>9896024.8399999999</v>
      </c>
      <c r="F58" s="13">
        <v>9174083.959999999</v>
      </c>
      <c r="G58" s="13">
        <v>10527494.800000001</v>
      </c>
      <c r="H58" s="13">
        <v>11209650.390000001</v>
      </c>
      <c r="I58" s="13">
        <f>SUM(C58:H58)</f>
        <v>59837324.549999997</v>
      </c>
      <c r="J58" s="14">
        <f>I58/(22886021.47+41424451.35)</f>
        <v>0.93044448168620997</v>
      </c>
    </row>
    <row r="59" spans="1:10" x14ac:dyDescent="0.25">
      <c r="A59" s="16" t="s">
        <v>10</v>
      </c>
      <c r="B59" s="16"/>
      <c r="C59" s="17">
        <f>SUM(C52:C58)</f>
        <v>56025788.329999998</v>
      </c>
      <c r="D59" s="17">
        <f t="shared" ref="D59:I59" si="6">SUM(D52:D58)</f>
        <v>57050051.469999999</v>
      </c>
      <c r="E59" s="17">
        <f t="shared" si="6"/>
        <v>62084805.150000006</v>
      </c>
      <c r="F59" s="17">
        <f t="shared" si="6"/>
        <v>62579926.449999996</v>
      </c>
      <c r="G59" s="17">
        <f t="shared" si="6"/>
        <v>65018905.780000001</v>
      </c>
      <c r="H59" s="17">
        <f t="shared" si="6"/>
        <v>65993270.180000007</v>
      </c>
      <c r="I59" s="17">
        <f t="shared" si="6"/>
        <v>368752747.36000001</v>
      </c>
      <c r="J59" s="18">
        <v>0.61147078073324179</v>
      </c>
    </row>
    <row r="60" spans="1:10" ht="21" x14ac:dyDescent="0.35">
      <c r="A60" s="78">
        <v>2019</v>
      </c>
      <c r="B60" s="78"/>
      <c r="C60" s="78"/>
      <c r="D60" s="78"/>
      <c r="E60" s="78"/>
      <c r="F60" s="78"/>
      <c r="G60" s="78"/>
      <c r="H60" s="78"/>
      <c r="I60" s="78"/>
      <c r="J60" s="78"/>
    </row>
    <row r="61" spans="1:10" x14ac:dyDescent="0.25">
      <c r="A61" s="5"/>
      <c r="B61" s="5"/>
      <c r="C61" s="29" t="s">
        <v>5</v>
      </c>
      <c r="D61" s="29" t="s">
        <v>6</v>
      </c>
      <c r="E61" s="29" t="s">
        <v>7</v>
      </c>
      <c r="F61" s="29" t="s">
        <v>8</v>
      </c>
      <c r="G61" s="29" t="s">
        <v>3</v>
      </c>
      <c r="H61" s="29" t="s">
        <v>4</v>
      </c>
      <c r="I61" s="29" t="s">
        <v>10</v>
      </c>
      <c r="J61" s="29" t="s">
        <v>12</v>
      </c>
    </row>
    <row r="62" spans="1:10" x14ac:dyDescent="0.25">
      <c r="A62" s="77" t="s">
        <v>0</v>
      </c>
      <c r="B62" s="22" t="s">
        <v>1</v>
      </c>
      <c r="C62" s="7">
        <v>14279461.27</v>
      </c>
      <c r="D62" s="7">
        <v>12611819.02</v>
      </c>
      <c r="E62" s="7">
        <v>12742515.890000001</v>
      </c>
      <c r="F62" s="7">
        <v>12597820.119999999</v>
      </c>
      <c r="G62" s="7">
        <v>12079015.4</v>
      </c>
      <c r="H62" s="7">
        <v>12287849.439999999</v>
      </c>
      <c r="I62" s="7">
        <f t="shared" ref="I62:I68" si="7">SUM(C62:H62)</f>
        <v>76598481.140000001</v>
      </c>
      <c r="J62" s="8">
        <f>I62/(388447443.72)</f>
        <v>0.19719136366672443</v>
      </c>
    </row>
    <row r="63" spans="1:10" x14ac:dyDescent="0.25">
      <c r="A63" s="77"/>
      <c r="B63" s="22" t="s">
        <v>2</v>
      </c>
      <c r="C63" s="7">
        <v>1900533.82</v>
      </c>
      <c r="D63" s="7">
        <v>1609805.23</v>
      </c>
      <c r="E63" s="7">
        <v>1642621.27</v>
      </c>
      <c r="F63" s="7">
        <v>1693280.64</v>
      </c>
      <c r="G63" s="7">
        <v>1729815.86</v>
      </c>
      <c r="H63" s="7">
        <v>1847490.47</v>
      </c>
      <c r="I63" s="7">
        <f t="shared" si="7"/>
        <v>10423547.290000001</v>
      </c>
      <c r="J63" s="8">
        <f>I63/(42126851.62)</f>
        <v>0.24743238312761437</v>
      </c>
    </row>
    <row r="64" spans="1:10" x14ac:dyDescent="0.25">
      <c r="A64" s="30"/>
      <c r="B64" s="30"/>
      <c r="C64" s="10"/>
      <c r="D64" s="10"/>
      <c r="E64" s="10"/>
      <c r="F64" s="10"/>
      <c r="G64" s="10"/>
      <c r="H64" s="10"/>
      <c r="I64" s="10"/>
      <c r="J64" s="11"/>
    </row>
    <row r="65" spans="1:10" x14ac:dyDescent="0.25">
      <c r="A65" s="77" t="s">
        <v>9</v>
      </c>
      <c r="B65" s="22" t="s">
        <v>1</v>
      </c>
      <c r="C65" s="7">
        <v>22855709.609999999</v>
      </c>
      <c r="D65" s="7">
        <v>23096690.82</v>
      </c>
      <c r="E65" s="7">
        <v>21616344.52</v>
      </c>
      <c r="F65" s="7">
        <v>25778894.989999998</v>
      </c>
      <c r="G65" s="7">
        <v>23835820.800000001</v>
      </c>
      <c r="H65" s="7">
        <v>22294989.739999998</v>
      </c>
      <c r="I65" s="7">
        <f t="shared" si="7"/>
        <v>139478450.47999999</v>
      </c>
      <c r="J65" s="8">
        <f>I65/(205648856.35)</f>
        <v>0.67823596471947989</v>
      </c>
    </row>
    <row r="66" spans="1:10" x14ac:dyDescent="0.25">
      <c r="A66" s="77"/>
      <c r="B66" s="22" t="s">
        <v>2</v>
      </c>
      <c r="C66" s="7">
        <v>9965743.5800000001</v>
      </c>
      <c r="D66" s="7">
        <v>9908357.6099999994</v>
      </c>
      <c r="E66" s="7">
        <v>9286815.4399999995</v>
      </c>
      <c r="F66" s="7">
        <v>10878281.98</v>
      </c>
      <c r="G66" s="7">
        <v>10430706.24</v>
      </c>
      <c r="H66" s="7">
        <v>9670098.8599999994</v>
      </c>
      <c r="I66" s="7">
        <f t="shared" si="7"/>
        <v>60140003.710000001</v>
      </c>
      <c r="J66" s="8">
        <f>I66/(77860450.48)</f>
        <v>0.77240760025461386</v>
      </c>
    </row>
    <row r="67" spans="1:10" x14ac:dyDescent="0.25">
      <c r="A67" s="30"/>
      <c r="B67" s="30"/>
      <c r="C67" s="10"/>
      <c r="D67" s="10"/>
      <c r="E67" s="10"/>
      <c r="F67" s="10"/>
      <c r="G67" s="10"/>
      <c r="H67" s="10"/>
      <c r="I67" s="10"/>
      <c r="J67" s="10"/>
    </row>
    <row r="68" spans="1:10" ht="31.5" x14ac:dyDescent="0.25">
      <c r="A68" s="16" t="s">
        <v>13</v>
      </c>
      <c r="B68" s="16"/>
      <c r="C68" s="13">
        <v>9211533.1500000004</v>
      </c>
      <c r="D68" s="13">
        <v>8633249.1999999993</v>
      </c>
      <c r="E68" s="13">
        <v>7490712.2300000004</v>
      </c>
      <c r="F68" s="13">
        <v>10488302.5</v>
      </c>
      <c r="G68" s="13">
        <v>9533563.5500000007</v>
      </c>
      <c r="H68" s="13">
        <v>8282694.3599999994</v>
      </c>
      <c r="I68" s="13">
        <f t="shared" si="7"/>
        <v>53640054.989999995</v>
      </c>
      <c r="J68" s="14">
        <f>I68/(20921417.38+36615657.91)</f>
        <v>0.9322694057638814</v>
      </c>
    </row>
    <row r="69" spans="1:10" x14ac:dyDescent="0.25">
      <c r="A69" s="6"/>
      <c r="B69" s="6"/>
      <c r="C69" s="20"/>
      <c r="D69" s="20"/>
      <c r="E69" s="20"/>
      <c r="F69" s="20"/>
      <c r="G69" s="20"/>
      <c r="H69" s="20"/>
      <c r="I69" s="20"/>
      <c r="J69" s="20"/>
    </row>
    <row r="70" spans="1:10" x14ac:dyDescent="0.25">
      <c r="A70" s="21" t="s">
        <v>10</v>
      </c>
      <c r="B70" s="22"/>
      <c r="C70" s="23">
        <f>SUM(C62:C68)</f>
        <v>58212981.43</v>
      </c>
      <c r="D70" s="23">
        <f t="shared" ref="D70:I70" si="8">SUM(D62:D68)</f>
        <v>55859921.879999995</v>
      </c>
      <c r="E70" s="23">
        <f t="shared" si="8"/>
        <v>52779009.349999994</v>
      </c>
      <c r="F70" s="23">
        <f t="shared" si="8"/>
        <v>61436580.230000004</v>
      </c>
      <c r="G70" s="23">
        <f t="shared" si="8"/>
        <v>57608921.850000009</v>
      </c>
      <c r="H70" s="23">
        <f t="shared" si="8"/>
        <v>54383122.869999997</v>
      </c>
      <c r="I70" s="23">
        <f t="shared" si="8"/>
        <v>340280537.61000001</v>
      </c>
      <c r="J70" s="18">
        <v>0.61344255277726767</v>
      </c>
    </row>
    <row r="71" spans="1:10" x14ac:dyDescent="0.25">
      <c r="A71" s="21"/>
      <c r="B71" s="22"/>
      <c r="C71" s="23"/>
      <c r="D71" s="23"/>
      <c r="E71" s="23"/>
      <c r="F71" s="23"/>
      <c r="G71" s="23"/>
      <c r="H71" s="23"/>
      <c r="I71" s="23"/>
      <c r="J71" s="24"/>
    </row>
    <row r="72" spans="1:10" ht="23.25" x14ac:dyDescent="0.35">
      <c r="A72" s="81" t="s">
        <v>145</v>
      </c>
      <c r="B72" s="81"/>
      <c r="C72" s="81"/>
      <c r="D72" s="81"/>
      <c r="E72" s="81"/>
      <c r="F72" s="81"/>
      <c r="G72" s="81"/>
      <c r="H72" s="81"/>
      <c r="I72" s="81"/>
      <c r="J72" s="81"/>
    </row>
    <row r="73" spans="1:10" ht="21" x14ac:dyDescent="0.35">
      <c r="A73" s="78">
        <v>2018</v>
      </c>
      <c r="B73" s="78"/>
      <c r="C73" s="78"/>
      <c r="D73" s="78"/>
      <c r="E73" s="78"/>
      <c r="F73" s="78"/>
      <c r="G73" s="78"/>
      <c r="H73" s="78"/>
      <c r="I73" s="78"/>
      <c r="J73" s="78"/>
    </row>
    <row r="74" spans="1:10" x14ac:dyDescent="0.25">
      <c r="A74" s="5"/>
      <c r="B74" s="5"/>
      <c r="C74" s="29" t="s">
        <v>5</v>
      </c>
      <c r="D74" s="29" t="s">
        <v>6</v>
      </c>
      <c r="E74" s="29" t="s">
        <v>7</v>
      </c>
      <c r="F74" s="29" t="s">
        <v>8</v>
      </c>
      <c r="G74" s="29" t="s">
        <v>3</v>
      </c>
      <c r="H74" s="29" t="s">
        <v>4</v>
      </c>
      <c r="I74" s="29" t="s">
        <v>10</v>
      </c>
      <c r="J74" s="29" t="s">
        <v>12</v>
      </c>
    </row>
    <row r="75" spans="1:10" x14ac:dyDescent="0.25">
      <c r="A75" s="77" t="s">
        <v>0</v>
      </c>
      <c r="B75" s="22" t="s">
        <v>1</v>
      </c>
      <c r="C75" s="7">
        <v>22556058.300000001</v>
      </c>
      <c r="D75" s="7">
        <v>19492851.850000001</v>
      </c>
      <c r="E75" s="7">
        <v>20900559.559999999</v>
      </c>
      <c r="F75" s="7">
        <v>19224813.460000001</v>
      </c>
      <c r="G75" s="7">
        <v>19594626.379999999</v>
      </c>
      <c r="H75" s="7">
        <v>19029515</v>
      </c>
      <c r="I75" s="7">
        <f>SUM(C75:H75)</f>
        <v>120798424.55000001</v>
      </c>
      <c r="J75" s="8">
        <f>I75/(430727345.86)</f>
        <v>0.28045218329198751</v>
      </c>
    </row>
    <row r="76" spans="1:10" x14ac:dyDescent="0.25">
      <c r="A76" s="77"/>
      <c r="B76" s="22" t="s">
        <v>2</v>
      </c>
      <c r="C76" s="7">
        <v>2522677.5299999998</v>
      </c>
      <c r="D76" s="7">
        <v>2604087.2799999998</v>
      </c>
      <c r="E76" s="7">
        <v>2498549.42</v>
      </c>
      <c r="F76" s="7">
        <v>3118436.63</v>
      </c>
      <c r="G76" s="7">
        <v>2640334.31</v>
      </c>
      <c r="H76" s="7">
        <v>2665957.7599999998</v>
      </c>
      <c r="I76" s="7">
        <f>SUM(C76:H76)</f>
        <v>16050042.93</v>
      </c>
      <c r="J76" s="8">
        <f>I76/(47508238.56)</f>
        <v>0.33783704503651035</v>
      </c>
    </row>
    <row r="77" spans="1:10" x14ac:dyDescent="0.25">
      <c r="A77" s="30"/>
      <c r="B77" s="30"/>
      <c r="C77" s="10"/>
      <c r="D77" s="10"/>
      <c r="E77" s="10"/>
      <c r="F77" s="10"/>
      <c r="G77" s="10"/>
      <c r="H77" s="10"/>
      <c r="I77" s="10"/>
      <c r="J77" s="11"/>
    </row>
    <row r="78" spans="1:10" x14ac:dyDescent="0.25">
      <c r="A78" s="77" t="s">
        <v>9</v>
      </c>
      <c r="B78" s="22" t="s">
        <v>1</v>
      </c>
      <c r="C78" s="7">
        <v>21820126.809999999</v>
      </c>
      <c r="D78" s="7">
        <v>22428254.98</v>
      </c>
      <c r="E78" s="7">
        <v>25583172.780000001</v>
      </c>
      <c r="F78" s="7">
        <v>26620679.52</v>
      </c>
      <c r="G78" s="7">
        <v>28591357.829999998</v>
      </c>
      <c r="H78" s="7">
        <v>28733967.940000001</v>
      </c>
      <c r="I78" s="7">
        <f>SUM(C78:H78)</f>
        <v>153777559.85999998</v>
      </c>
      <c r="J78" s="8">
        <f>I78/(206539246.59)</f>
        <v>0.74454401475213583</v>
      </c>
    </row>
    <row r="79" spans="1:10" x14ac:dyDescent="0.25">
      <c r="A79" s="77"/>
      <c r="B79" s="22" t="s">
        <v>2</v>
      </c>
      <c r="C79" s="7">
        <v>9966798.9199999999</v>
      </c>
      <c r="D79" s="7">
        <v>10306797.529999999</v>
      </c>
      <c r="E79" s="7">
        <v>11249652.33</v>
      </c>
      <c r="F79" s="7">
        <v>11734382.689999999</v>
      </c>
      <c r="G79" s="7">
        <v>12470234.48</v>
      </c>
      <c r="H79" s="7">
        <v>12812354.91</v>
      </c>
      <c r="I79" s="7">
        <f>SUM(C79:H79)</f>
        <v>68540220.859999999</v>
      </c>
      <c r="J79" s="8">
        <f>I79/(77860450.48)</f>
        <v>0.88029571415857544</v>
      </c>
    </row>
    <row r="80" spans="1:10" x14ac:dyDescent="0.25">
      <c r="A80" s="30"/>
      <c r="B80" s="30"/>
      <c r="C80" s="10"/>
      <c r="D80" s="10"/>
      <c r="E80" s="10"/>
      <c r="F80" s="10"/>
      <c r="G80" s="10"/>
      <c r="H80" s="10"/>
      <c r="I80" s="10"/>
      <c r="J80" s="10"/>
    </row>
    <row r="81" spans="1:10" ht="31.5" x14ac:dyDescent="0.25">
      <c r="A81" s="16" t="s">
        <v>13</v>
      </c>
      <c r="B81" s="16"/>
      <c r="C81" s="25">
        <v>8746768.8900000006</v>
      </c>
      <c r="D81" s="25">
        <v>10452235.25</v>
      </c>
      <c r="E81" s="25">
        <v>9943450.5</v>
      </c>
      <c r="F81" s="25">
        <v>9214122.6799999997</v>
      </c>
      <c r="G81" s="25">
        <v>10589101.689999999</v>
      </c>
      <c r="H81" s="25">
        <v>11266651.07</v>
      </c>
      <c r="I81" s="13">
        <f>SUM(C81:H81)</f>
        <v>60212330.079999998</v>
      </c>
      <c r="J81" s="14">
        <f>I81/(22886021.47+41424451.35)</f>
        <v>0.9362756552658168</v>
      </c>
    </row>
    <row r="82" spans="1:10" x14ac:dyDescent="0.25">
      <c r="A82" s="16" t="s">
        <v>10</v>
      </c>
      <c r="B82" s="16"/>
      <c r="C82" s="26">
        <f>SUM(C75:C81)</f>
        <v>65612430.450000003</v>
      </c>
      <c r="D82" s="26">
        <f t="shared" ref="D82:I82" si="9">SUM(D75:D81)</f>
        <v>65284226.890000001</v>
      </c>
      <c r="E82" s="26">
        <f t="shared" si="9"/>
        <v>70175384.590000004</v>
      </c>
      <c r="F82" s="26">
        <f t="shared" si="9"/>
        <v>69912434.979999989</v>
      </c>
      <c r="G82" s="26">
        <f t="shared" si="9"/>
        <v>73885654.689999998</v>
      </c>
      <c r="H82" s="26">
        <f t="shared" si="9"/>
        <v>74508446.680000007</v>
      </c>
      <c r="I82" s="26">
        <f t="shared" si="9"/>
        <v>419378578.28000003</v>
      </c>
      <c r="J82" s="18">
        <v>0.64501540674087798</v>
      </c>
    </row>
    <row r="83" spans="1:10" ht="21" x14ac:dyDescent="0.35">
      <c r="A83" s="78">
        <v>2019</v>
      </c>
      <c r="B83" s="78"/>
      <c r="C83" s="78"/>
      <c r="D83" s="78"/>
      <c r="E83" s="78"/>
      <c r="F83" s="78"/>
      <c r="G83" s="78"/>
      <c r="H83" s="78"/>
      <c r="I83" s="78"/>
      <c r="J83" s="78"/>
    </row>
    <row r="84" spans="1:10" x14ac:dyDescent="0.25">
      <c r="A84" s="5"/>
      <c r="B84" s="5"/>
      <c r="C84" s="29" t="s">
        <v>5</v>
      </c>
      <c r="D84" s="29" t="s">
        <v>6</v>
      </c>
      <c r="E84" s="29" t="s">
        <v>7</v>
      </c>
      <c r="F84" s="29" t="s">
        <v>8</v>
      </c>
      <c r="G84" s="29" t="s">
        <v>3</v>
      </c>
      <c r="H84" s="29" t="s">
        <v>4</v>
      </c>
      <c r="I84" s="29" t="s">
        <v>10</v>
      </c>
      <c r="J84" s="29" t="s">
        <v>12</v>
      </c>
    </row>
    <row r="85" spans="1:10" x14ac:dyDescent="0.25">
      <c r="A85" s="77" t="s">
        <v>0</v>
      </c>
      <c r="B85" s="22" t="s">
        <v>1</v>
      </c>
      <c r="C85" s="7">
        <v>18441071.43</v>
      </c>
      <c r="D85" s="7">
        <v>17916038.309999999</v>
      </c>
      <c r="E85" s="7">
        <v>17277276.129999999</v>
      </c>
      <c r="F85" s="7">
        <v>17461967.890000001</v>
      </c>
      <c r="G85" s="7">
        <v>14946236.49</v>
      </c>
      <c r="H85" s="7">
        <v>16196818.73</v>
      </c>
      <c r="I85" s="7">
        <f t="shared" ref="I85:I91" si="10">SUM(C85:H85)</f>
        <v>102239408.97999999</v>
      </c>
      <c r="J85" s="8">
        <f>I85/(388447443.72)</f>
        <v>0.26320010758957657</v>
      </c>
    </row>
    <row r="86" spans="1:10" x14ac:dyDescent="0.25">
      <c r="A86" s="77"/>
      <c r="B86" s="22" t="s">
        <v>2</v>
      </c>
      <c r="C86" s="7">
        <v>2421247.64</v>
      </c>
      <c r="D86" s="7">
        <v>2228677.83</v>
      </c>
      <c r="E86" s="7">
        <v>2228188.98</v>
      </c>
      <c r="F86" s="7">
        <v>2209664.0699999998</v>
      </c>
      <c r="G86" s="7">
        <v>2195614.09</v>
      </c>
      <c r="H86" s="7">
        <v>2254350.4900000002</v>
      </c>
      <c r="I86" s="7">
        <f t="shared" si="10"/>
        <v>13537743.100000001</v>
      </c>
      <c r="J86" s="8">
        <f>I86/(42126851.62)</f>
        <v>0.32135663073318466</v>
      </c>
    </row>
    <row r="87" spans="1:10" x14ac:dyDescent="0.25">
      <c r="A87" s="30"/>
      <c r="B87" s="30"/>
      <c r="C87" s="10"/>
      <c r="D87" s="10"/>
      <c r="E87" s="10"/>
      <c r="F87" s="10"/>
      <c r="G87" s="10"/>
      <c r="H87" s="10"/>
      <c r="I87" s="10"/>
      <c r="J87" s="11"/>
    </row>
    <row r="88" spans="1:10" x14ac:dyDescent="0.25">
      <c r="A88" s="77" t="s">
        <v>9</v>
      </c>
      <c r="B88" s="22" t="s">
        <v>1</v>
      </c>
      <c r="C88" s="7">
        <v>25340375.699999999</v>
      </c>
      <c r="D88" s="7">
        <v>25260612.449999999</v>
      </c>
      <c r="E88" s="7">
        <v>23394275.02</v>
      </c>
      <c r="F88" s="7">
        <v>28358525.93</v>
      </c>
      <c r="G88" s="7">
        <v>26189116.670000002</v>
      </c>
      <c r="H88" s="7">
        <v>24502542.52</v>
      </c>
      <c r="I88" s="7">
        <f t="shared" si="10"/>
        <v>153045448.28999999</v>
      </c>
      <c r="J88" s="8">
        <f>I88/(205648856.35)</f>
        <v>0.7442076314274626</v>
      </c>
    </row>
    <row r="89" spans="1:10" x14ac:dyDescent="0.25">
      <c r="A89" s="77"/>
      <c r="B89" s="22" t="s">
        <v>2</v>
      </c>
      <c r="C89" s="7">
        <v>10745378.6</v>
      </c>
      <c r="D89" s="7">
        <v>10676555.949999999</v>
      </c>
      <c r="E89" s="7">
        <v>9966760.3699999992</v>
      </c>
      <c r="F89" s="7">
        <v>11778307.67</v>
      </c>
      <c r="G89" s="7">
        <v>11182556.609999999</v>
      </c>
      <c r="H89" s="7">
        <v>10535324.189999999</v>
      </c>
      <c r="I89" s="7">
        <f t="shared" si="10"/>
        <v>64884883.389999993</v>
      </c>
      <c r="J89" s="8">
        <f>I89/(77860450.48)</f>
        <v>0.83334842002573517</v>
      </c>
    </row>
    <row r="90" spans="1:10" x14ac:dyDescent="0.25">
      <c r="A90" s="30"/>
      <c r="B90" s="30"/>
      <c r="C90" s="10"/>
      <c r="D90" s="10"/>
      <c r="E90" s="10"/>
      <c r="F90" s="10"/>
      <c r="G90" s="10"/>
      <c r="H90" s="10"/>
      <c r="I90" s="10"/>
      <c r="J90" s="10"/>
    </row>
    <row r="91" spans="1:10" ht="31.5" x14ac:dyDescent="0.25">
      <c r="A91" s="16" t="s">
        <v>13</v>
      </c>
      <c r="B91" s="16"/>
      <c r="C91" s="13">
        <v>9240389.4499999993</v>
      </c>
      <c r="D91" s="13">
        <v>8733724.9499999993</v>
      </c>
      <c r="E91" s="13">
        <v>7568285.1099999994</v>
      </c>
      <c r="F91" s="13">
        <v>10548579.5</v>
      </c>
      <c r="G91" s="13">
        <v>9586702.3999999985</v>
      </c>
      <c r="H91" s="13">
        <v>8319070.1500000004</v>
      </c>
      <c r="I91" s="13">
        <f t="shared" si="10"/>
        <v>53996751.559999995</v>
      </c>
      <c r="J91" s="14">
        <f>I91/(20921417.38+36615657.91)</f>
        <v>0.93846882706227319</v>
      </c>
    </row>
    <row r="92" spans="1:10" x14ac:dyDescent="0.25">
      <c r="A92" s="6"/>
      <c r="B92" s="6"/>
      <c r="C92" s="6"/>
      <c r="D92" s="6"/>
      <c r="E92" s="6"/>
      <c r="F92" s="6"/>
      <c r="G92" s="6"/>
      <c r="H92" s="6"/>
      <c r="I92" s="6"/>
      <c r="J92" s="7"/>
    </row>
    <row r="93" spans="1:10" x14ac:dyDescent="0.25">
      <c r="A93" s="16" t="s">
        <v>10</v>
      </c>
      <c r="B93" s="22"/>
      <c r="C93" s="28">
        <f t="shared" ref="C93:I93" si="11">SUM(C85:C91)</f>
        <v>66188462.819999993</v>
      </c>
      <c r="D93" s="28">
        <f t="shared" si="11"/>
        <v>64815609.49000001</v>
      </c>
      <c r="E93" s="28">
        <f t="shared" si="11"/>
        <v>60434785.609999992</v>
      </c>
      <c r="F93" s="28">
        <f t="shared" si="11"/>
        <v>70357045.060000002</v>
      </c>
      <c r="G93" s="28">
        <f t="shared" si="11"/>
        <v>64100226.259999998</v>
      </c>
      <c r="H93" s="28">
        <f t="shared" si="11"/>
        <v>61808106.079999991</v>
      </c>
      <c r="I93" s="28">
        <f t="shared" si="11"/>
        <v>387704235.31999999</v>
      </c>
      <c r="J93" s="27">
        <v>0.64457237739089124</v>
      </c>
    </row>
    <row r="94" spans="1:10" x14ac:dyDescent="0.25">
      <c r="A94" s="87"/>
      <c r="B94" s="87"/>
      <c r="C94" s="87"/>
      <c r="D94" s="87"/>
      <c r="E94" s="87"/>
      <c r="F94" s="87"/>
      <c r="G94" s="87"/>
      <c r="H94" s="87"/>
      <c r="I94" s="87"/>
      <c r="J94" s="87"/>
    </row>
    <row r="95" spans="1:10" ht="23.25" x14ac:dyDescent="0.35">
      <c r="A95" s="81" t="s">
        <v>144</v>
      </c>
      <c r="B95" s="81"/>
      <c r="C95" s="81"/>
      <c r="D95" s="81"/>
      <c r="E95" s="81"/>
      <c r="F95" s="81"/>
      <c r="G95" s="81"/>
      <c r="H95" s="81"/>
      <c r="I95" s="81"/>
      <c r="J95" s="81"/>
    </row>
    <row r="96" spans="1:10" ht="21" x14ac:dyDescent="0.35">
      <c r="A96" s="78">
        <v>2018</v>
      </c>
      <c r="B96" s="78"/>
      <c r="C96" s="78"/>
      <c r="D96" s="78"/>
      <c r="E96" s="78"/>
      <c r="F96" s="78"/>
      <c r="G96" s="78"/>
      <c r="H96" s="78"/>
      <c r="I96" s="78"/>
      <c r="J96" s="78"/>
    </row>
    <row r="97" spans="1:10" x14ac:dyDescent="0.25">
      <c r="A97" s="5"/>
      <c r="B97" s="5"/>
      <c r="C97" s="29" t="s">
        <v>5</v>
      </c>
      <c r="D97" s="29" t="s">
        <v>6</v>
      </c>
      <c r="E97" s="29" t="s">
        <v>7</v>
      </c>
      <c r="F97" s="29" t="s">
        <v>8</v>
      </c>
      <c r="G97" s="29" t="s">
        <v>3</v>
      </c>
      <c r="H97" s="29" t="s">
        <v>4</v>
      </c>
      <c r="I97" s="29" t="s">
        <v>10</v>
      </c>
      <c r="J97" s="29" t="s">
        <v>12</v>
      </c>
    </row>
    <row r="98" spans="1:10" x14ac:dyDescent="0.25">
      <c r="A98" s="77" t="s">
        <v>0</v>
      </c>
      <c r="B98" s="22" t="s">
        <v>1</v>
      </c>
      <c r="C98" s="9">
        <v>543</v>
      </c>
      <c r="D98" s="9">
        <v>489</v>
      </c>
      <c r="E98" s="9">
        <v>499</v>
      </c>
      <c r="F98" s="9">
        <v>476</v>
      </c>
      <c r="G98" s="9">
        <v>478</v>
      </c>
      <c r="H98" s="9">
        <v>506</v>
      </c>
      <c r="I98" s="9">
        <f>SUM(C98:H98)</f>
        <v>2991</v>
      </c>
      <c r="J98" s="8">
        <f>I98/(11518)</f>
        <v>0.25968050008682064</v>
      </c>
    </row>
    <row r="99" spans="1:10" x14ac:dyDescent="0.25">
      <c r="A99" s="77"/>
      <c r="B99" s="22" t="s">
        <v>2</v>
      </c>
      <c r="C99" s="9">
        <v>2776</v>
      </c>
      <c r="D99" s="9">
        <v>2775</v>
      </c>
      <c r="E99" s="9">
        <v>2734</v>
      </c>
      <c r="F99" s="9">
        <v>2700</v>
      </c>
      <c r="G99" s="9">
        <v>2454</v>
      </c>
      <c r="H99" s="9">
        <v>2520</v>
      </c>
      <c r="I99" s="9">
        <f>SUM(C99:H99)</f>
        <v>15959</v>
      </c>
      <c r="J99" s="8">
        <f>I99/(55824)</f>
        <v>0.28588062482086557</v>
      </c>
    </row>
    <row r="100" spans="1:10" x14ac:dyDescent="0.25">
      <c r="A100" s="30"/>
      <c r="B100" s="30"/>
      <c r="C100" s="12"/>
      <c r="D100" s="12"/>
      <c r="E100" s="12"/>
      <c r="F100" s="12"/>
      <c r="G100" s="12"/>
      <c r="H100" s="12"/>
      <c r="I100" s="12"/>
      <c r="J100" s="11"/>
    </row>
    <row r="101" spans="1:10" x14ac:dyDescent="0.25">
      <c r="A101" s="77" t="s">
        <v>9</v>
      </c>
      <c r="B101" s="22" t="s">
        <v>1</v>
      </c>
      <c r="C101" s="9">
        <v>14320</v>
      </c>
      <c r="D101" s="9">
        <v>13997</v>
      </c>
      <c r="E101" s="9">
        <v>15590</v>
      </c>
      <c r="F101" s="9">
        <v>15981</v>
      </c>
      <c r="G101" s="9">
        <v>16643</v>
      </c>
      <c r="H101" s="9">
        <v>16051</v>
      </c>
      <c r="I101" s="9">
        <f>SUM(C101:H101)</f>
        <v>92582</v>
      </c>
      <c r="J101" s="8">
        <f>I101/(211751)</f>
        <v>0.43722107569739932</v>
      </c>
    </row>
    <row r="102" spans="1:10" x14ac:dyDescent="0.25">
      <c r="A102" s="77"/>
      <c r="B102" s="22" t="s">
        <v>2</v>
      </c>
      <c r="C102" s="9">
        <v>23869</v>
      </c>
      <c r="D102" s="9">
        <v>22786</v>
      </c>
      <c r="E102" s="9">
        <v>24570</v>
      </c>
      <c r="F102" s="9">
        <v>25040</v>
      </c>
      <c r="G102" s="9">
        <v>26270</v>
      </c>
      <c r="H102" s="9">
        <v>25426</v>
      </c>
      <c r="I102" s="9">
        <f>SUM(C102:H102)</f>
        <v>147961</v>
      </c>
      <c r="J102" s="8">
        <f>I102/(188603)</f>
        <v>0.78451032062056281</v>
      </c>
    </row>
    <row r="103" spans="1:10" x14ac:dyDescent="0.25">
      <c r="A103" s="30"/>
      <c r="B103" s="30"/>
      <c r="C103" s="12"/>
      <c r="D103" s="12"/>
      <c r="E103" s="12"/>
      <c r="F103" s="12"/>
      <c r="G103" s="12"/>
      <c r="H103" s="12"/>
      <c r="I103" s="12"/>
      <c r="J103" s="12"/>
    </row>
    <row r="104" spans="1:10" ht="31.5" x14ac:dyDescent="0.25">
      <c r="A104" s="16" t="s">
        <v>13</v>
      </c>
      <c r="B104" s="16"/>
      <c r="C104" s="15">
        <v>27433</v>
      </c>
      <c r="D104" s="15">
        <v>25917</v>
      </c>
      <c r="E104" s="15">
        <v>25988</v>
      </c>
      <c r="F104" s="15">
        <v>25681</v>
      </c>
      <c r="G104" s="15">
        <v>29198</v>
      </c>
      <c r="H104" s="15">
        <v>27115</v>
      </c>
      <c r="I104" s="15">
        <f>SUM(C104:H104)</f>
        <v>161332</v>
      </c>
      <c r="J104" s="14">
        <f>I104/(75366+102759)</f>
        <v>0.90572350877192986</v>
      </c>
    </row>
    <row r="105" spans="1:10" x14ac:dyDescent="0.25">
      <c r="A105" s="16" t="s">
        <v>10</v>
      </c>
      <c r="B105" s="16"/>
      <c r="C105" s="19">
        <f>SUM(C98:C104)</f>
        <v>68941</v>
      </c>
      <c r="D105" s="19">
        <f t="shared" ref="D105:H105" si="12">SUM(D98:D104)</f>
        <v>65964</v>
      </c>
      <c r="E105" s="19">
        <f t="shared" si="12"/>
        <v>69381</v>
      </c>
      <c r="F105" s="19">
        <f t="shared" si="12"/>
        <v>69878</v>
      </c>
      <c r="G105" s="19">
        <f t="shared" si="12"/>
        <v>75043</v>
      </c>
      <c r="H105" s="19">
        <f t="shared" si="12"/>
        <v>71618</v>
      </c>
      <c r="I105" s="19">
        <f>SUM(C105:H105)</f>
        <v>420825</v>
      </c>
      <c r="J105" s="18">
        <v>0.73193605789585836</v>
      </c>
    </row>
    <row r="106" spans="1:10" ht="21" x14ac:dyDescent="0.35">
      <c r="A106" s="78">
        <v>2019</v>
      </c>
      <c r="B106" s="78"/>
      <c r="C106" s="78"/>
      <c r="D106" s="78"/>
      <c r="E106" s="78"/>
      <c r="F106" s="78"/>
      <c r="G106" s="78"/>
      <c r="H106" s="78"/>
      <c r="I106" s="78"/>
      <c r="J106" s="78"/>
    </row>
    <row r="107" spans="1:10" x14ac:dyDescent="0.25">
      <c r="A107" s="5"/>
      <c r="B107" s="5"/>
      <c r="C107" s="29" t="s">
        <v>5</v>
      </c>
      <c r="D107" s="29" t="s">
        <v>6</v>
      </c>
      <c r="E107" s="29" t="s">
        <v>7</v>
      </c>
      <c r="F107" s="29" t="s">
        <v>8</v>
      </c>
      <c r="G107" s="29" t="s">
        <v>3</v>
      </c>
      <c r="H107" s="29" t="s">
        <v>4</v>
      </c>
      <c r="I107" s="29" t="s">
        <v>10</v>
      </c>
      <c r="J107" s="29" t="s">
        <v>12</v>
      </c>
    </row>
    <row r="108" spans="1:10" x14ac:dyDescent="0.25">
      <c r="A108" s="77" t="s">
        <v>0</v>
      </c>
      <c r="B108" s="22" t="s">
        <v>1</v>
      </c>
      <c r="C108" s="9">
        <v>396</v>
      </c>
      <c r="D108" s="9">
        <v>334</v>
      </c>
      <c r="E108" s="9">
        <v>309</v>
      </c>
      <c r="F108" s="9">
        <v>315</v>
      </c>
      <c r="G108" s="9">
        <v>310</v>
      </c>
      <c r="H108" s="9">
        <v>306</v>
      </c>
      <c r="I108" s="9">
        <f t="shared" ref="I108:I114" si="13">SUM(C108:H108)</f>
        <v>1970</v>
      </c>
      <c r="J108" s="8">
        <f>I108/(9329)</f>
        <v>0.21116947154035803</v>
      </c>
    </row>
    <row r="109" spans="1:10" x14ac:dyDescent="0.25">
      <c r="A109" s="77"/>
      <c r="B109" s="22" t="s">
        <v>2</v>
      </c>
      <c r="C109" s="9">
        <v>2032</v>
      </c>
      <c r="D109" s="9">
        <v>1914</v>
      </c>
      <c r="E109" s="9">
        <v>1747</v>
      </c>
      <c r="F109" s="9">
        <v>1757</v>
      </c>
      <c r="G109" s="9">
        <v>1805</v>
      </c>
      <c r="H109" s="9">
        <v>1758</v>
      </c>
      <c r="I109" s="9">
        <f t="shared" si="13"/>
        <v>11013</v>
      </c>
      <c r="J109" s="8">
        <f>I109/(44804)</f>
        <v>0.2458039460762432</v>
      </c>
    </row>
    <row r="110" spans="1:10" x14ac:dyDescent="0.25">
      <c r="A110" s="30"/>
      <c r="B110" s="30"/>
      <c r="C110" s="12"/>
      <c r="D110" s="12"/>
      <c r="E110" s="12"/>
      <c r="F110" s="12"/>
      <c r="G110" s="12"/>
      <c r="H110" s="12"/>
      <c r="I110" s="12"/>
      <c r="J110" s="11"/>
    </row>
    <row r="111" spans="1:10" x14ac:dyDescent="0.25">
      <c r="A111" s="77" t="s">
        <v>9</v>
      </c>
      <c r="B111" s="22" t="s">
        <v>1</v>
      </c>
      <c r="C111" s="9">
        <v>14484</v>
      </c>
      <c r="D111" s="9">
        <v>13771</v>
      </c>
      <c r="E111" s="9">
        <v>12885</v>
      </c>
      <c r="F111" s="9">
        <v>15025</v>
      </c>
      <c r="G111" s="9">
        <v>13905</v>
      </c>
      <c r="H111" s="9">
        <v>13038</v>
      </c>
      <c r="I111" s="9">
        <f t="shared" si="13"/>
        <v>83108</v>
      </c>
      <c r="J111" s="8">
        <f>I111/(182388)</f>
        <v>0.45566594293484219</v>
      </c>
    </row>
    <row r="112" spans="1:10" x14ac:dyDescent="0.25">
      <c r="A112" s="77"/>
      <c r="B112" s="22" t="s">
        <v>2</v>
      </c>
      <c r="C112" s="9">
        <v>23845</v>
      </c>
      <c r="D112" s="9">
        <v>22391</v>
      </c>
      <c r="E112" s="9">
        <v>20889</v>
      </c>
      <c r="F112" s="9">
        <v>23677</v>
      </c>
      <c r="G112" s="9">
        <v>21766</v>
      </c>
      <c r="H112" s="9">
        <v>19838</v>
      </c>
      <c r="I112" s="9">
        <f t="shared" si="13"/>
        <v>132406</v>
      </c>
      <c r="J112" s="8">
        <f>I112/(168903)</f>
        <v>0.78391739637543445</v>
      </c>
    </row>
    <row r="113" spans="1:10" x14ac:dyDescent="0.25">
      <c r="A113" s="30"/>
      <c r="B113" s="30"/>
      <c r="C113" s="12"/>
      <c r="D113" s="12"/>
      <c r="E113" s="12"/>
      <c r="F113" s="12"/>
      <c r="G113" s="12"/>
      <c r="H113" s="12"/>
      <c r="I113" s="12"/>
      <c r="J113" s="12"/>
    </row>
    <row r="114" spans="1:10" ht="31.5" x14ac:dyDescent="0.25">
      <c r="A114" s="16" t="s">
        <v>13</v>
      </c>
      <c r="B114" s="16"/>
      <c r="C114" s="15">
        <v>24766</v>
      </c>
      <c r="D114" s="15">
        <v>23356</v>
      </c>
      <c r="E114" s="15">
        <v>22612</v>
      </c>
      <c r="F114" s="15">
        <v>28332</v>
      </c>
      <c r="G114" s="15">
        <v>26036</v>
      </c>
      <c r="H114" s="15">
        <v>23411</v>
      </c>
      <c r="I114" s="15">
        <f t="shared" si="13"/>
        <v>148513</v>
      </c>
      <c r="J114" s="14">
        <f>I114/(71110+95205)</f>
        <v>0.89296215013678859</v>
      </c>
    </row>
    <row r="115" spans="1:10" x14ac:dyDescent="0.25">
      <c r="A115" s="6"/>
      <c r="B115" s="6"/>
      <c r="C115" s="20"/>
      <c r="D115" s="20"/>
      <c r="E115" s="20"/>
      <c r="F115" s="20"/>
      <c r="G115" s="20"/>
      <c r="H115" s="20"/>
      <c r="I115" s="9"/>
      <c r="J115" s="9"/>
    </row>
    <row r="116" spans="1:10" x14ac:dyDescent="0.25">
      <c r="A116" s="16" t="s">
        <v>10</v>
      </c>
      <c r="B116" s="16"/>
      <c r="C116" s="19">
        <f>SUM(C108:C114)</f>
        <v>65523</v>
      </c>
      <c r="D116" s="19">
        <f t="shared" ref="D116:H116" si="14">SUM(D108:D114)</f>
        <v>61766</v>
      </c>
      <c r="E116" s="19">
        <f t="shared" si="14"/>
        <v>58442</v>
      </c>
      <c r="F116" s="19">
        <f t="shared" si="14"/>
        <v>69106</v>
      </c>
      <c r="G116" s="19">
        <f t="shared" si="14"/>
        <v>63822</v>
      </c>
      <c r="H116" s="19">
        <f t="shared" si="14"/>
        <v>58351</v>
      </c>
      <c r="I116" s="19">
        <f>SUM(C116:H116)</f>
        <v>377010</v>
      </c>
      <c r="J116" s="18">
        <v>0.73580112593897162</v>
      </c>
    </row>
    <row r="117" spans="1:10" x14ac:dyDescent="0.25">
      <c r="A117" s="16"/>
      <c r="B117" s="16"/>
      <c r="C117" s="19"/>
      <c r="D117" s="19"/>
      <c r="E117" s="19"/>
      <c r="F117" s="19"/>
      <c r="G117" s="19"/>
      <c r="H117" s="19"/>
      <c r="I117" s="19"/>
      <c r="J117" s="19"/>
    </row>
    <row r="118" spans="1:10" ht="23.25" x14ac:dyDescent="0.35">
      <c r="A118" s="81" t="s">
        <v>146</v>
      </c>
      <c r="B118" s="81"/>
      <c r="C118" s="81"/>
      <c r="D118" s="81"/>
      <c r="E118" s="81"/>
      <c r="F118" s="81"/>
      <c r="G118" s="81"/>
      <c r="H118" s="81"/>
      <c r="I118" s="81"/>
      <c r="J118" s="81"/>
    </row>
    <row r="119" spans="1:10" ht="21" x14ac:dyDescent="0.35">
      <c r="A119" s="78">
        <v>2018</v>
      </c>
      <c r="B119" s="78"/>
      <c r="C119" s="78"/>
      <c r="D119" s="78"/>
      <c r="E119" s="78"/>
      <c r="F119" s="78"/>
      <c r="G119" s="78"/>
      <c r="H119" s="78"/>
      <c r="I119" s="78"/>
      <c r="J119" s="78"/>
    </row>
    <row r="120" spans="1:10" x14ac:dyDescent="0.25">
      <c r="A120" s="5"/>
      <c r="B120" s="5"/>
      <c r="C120" s="29" t="s">
        <v>5</v>
      </c>
      <c r="D120" s="29" t="s">
        <v>6</v>
      </c>
      <c r="E120" s="29" t="s">
        <v>7</v>
      </c>
      <c r="F120" s="29" t="s">
        <v>8</v>
      </c>
      <c r="G120" s="29" t="s">
        <v>3</v>
      </c>
      <c r="H120" s="29" t="s">
        <v>4</v>
      </c>
      <c r="I120" s="29" t="s">
        <v>10</v>
      </c>
      <c r="J120" s="29" t="s">
        <v>12</v>
      </c>
    </row>
    <row r="121" spans="1:10" x14ac:dyDescent="0.25">
      <c r="A121" s="77" t="s">
        <v>0</v>
      </c>
      <c r="B121" s="22" t="s">
        <v>1</v>
      </c>
      <c r="C121" s="9">
        <v>707</v>
      </c>
      <c r="D121" s="9">
        <v>624</v>
      </c>
      <c r="E121" s="9">
        <v>643</v>
      </c>
      <c r="F121" s="9">
        <v>625</v>
      </c>
      <c r="G121" s="9">
        <v>618</v>
      </c>
      <c r="H121" s="9">
        <v>654</v>
      </c>
      <c r="I121" s="9">
        <f>SUM(C121:H121)</f>
        <v>3871</v>
      </c>
      <c r="J121" s="8">
        <f>I121/(11518)</f>
        <v>0.33608265323840947</v>
      </c>
    </row>
    <row r="122" spans="1:10" x14ac:dyDescent="0.25">
      <c r="A122" s="77"/>
      <c r="B122" s="22" t="s">
        <v>2</v>
      </c>
      <c r="C122" s="9">
        <v>3551</v>
      </c>
      <c r="D122" s="9">
        <v>3436</v>
      </c>
      <c r="E122" s="9">
        <v>3393</v>
      </c>
      <c r="F122" s="9">
        <v>3327</v>
      </c>
      <c r="G122" s="9">
        <v>3114</v>
      </c>
      <c r="H122" s="9">
        <v>3206</v>
      </c>
      <c r="I122" s="9">
        <f>SUM(C122:H122)</f>
        <v>20027</v>
      </c>
      <c r="J122" s="8">
        <f>I122/(55824)</f>
        <v>0.3587525078819146</v>
      </c>
    </row>
    <row r="123" spans="1:10" x14ac:dyDescent="0.25">
      <c r="A123" s="30"/>
      <c r="B123" s="30"/>
      <c r="C123" s="12"/>
      <c r="D123" s="12"/>
      <c r="E123" s="12"/>
      <c r="F123" s="12"/>
      <c r="G123" s="12"/>
      <c r="H123" s="12"/>
      <c r="I123" s="12"/>
      <c r="J123" s="11"/>
    </row>
    <row r="124" spans="1:10" x14ac:dyDescent="0.25">
      <c r="A124" s="77" t="s">
        <v>9</v>
      </c>
      <c r="B124" s="22" t="s">
        <v>1</v>
      </c>
      <c r="C124" s="9">
        <v>15408</v>
      </c>
      <c r="D124" s="9">
        <v>14997</v>
      </c>
      <c r="E124" s="9">
        <v>16676</v>
      </c>
      <c r="F124" s="9">
        <v>17040</v>
      </c>
      <c r="G124" s="9">
        <v>17929</v>
      </c>
      <c r="H124" s="9">
        <v>17300</v>
      </c>
      <c r="I124" s="9">
        <f>SUM(C124:H124)</f>
        <v>99350</v>
      </c>
      <c r="J124" s="8">
        <f>I124/(211751)</f>
        <v>0.46918314435350955</v>
      </c>
    </row>
    <row r="125" spans="1:10" x14ac:dyDescent="0.25">
      <c r="A125" s="77"/>
      <c r="B125" s="22" t="s">
        <v>2</v>
      </c>
      <c r="C125" s="9">
        <v>26059</v>
      </c>
      <c r="D125" s="9">
        <v>24915</v>
      </c>
      <c r="E125" s="9">
        <v>26593</v>
      </c>
      <c r="F125" s="9">
        <v>27205</v>
      </c>
      <c r="G125" s="9">
        <v>28923</v>
      </c>
      <c r="H125" s="9">
        <v>28034</v>
      </c>
      <c r="I125" s="9">
        <f>SUM(C125:H125)</f>
        <v>161729</v>
      </c>
      <c r="J125" s="8">
        <f>I125/(188603)</f>
        <v>0.85751021987985343</v>
      </c>
    </row>
    <row r="126" spans="1:10" x14ac:dyDescent="0.25">
      <c r="A126" s="30"/>
      <c r="B126" s="30"/>
      <c r="C126" s="12"/>
      <c r="D126" s="12"/>
      <c r="E126" s="12"/>
      <c r="F126" s="12"/>
      <c r="G126" s="12"/>
      <c r="H126" s="12"/>
      <c r="I126" s="12"/>
      <c r="J126" s="12"/>
    </row>
    <row r="127" spans="1:10" ht="31.5" x14ac:dyDescent="0.25">
      <c r="A127" s="16" t="s">
        <v>13</v>
      </c>
      <c r="B127" s="16"/>
      <c r="C127" s="15">
        <v>27905</v>
      </c>
      <c r="D127" s="15">
        <v>26376</v>
      </c>
      <c r="E127" s="15">
        <v>26356</v>
      </c>
      <c r="F127" s="15">
        <v>26154</v>
      </c>
      <c r="G127" s="15">
        <v>29667</v>
      </c>
      <c r="H127" s="15">
        <v>27424</v>
      </c>
      <c r="I127" s="15">
        <f>SUM(C127:H127)</f>
        <v>163882</v>
      </c>
      <c r="J127" s="14">
        <f>I127/(75366+102759)</f>
        <v>0.92003929824561403</v>
      </c>
    </row>
    <row r="128" spans="1:10" x14ac:dyDescent="0.25">
      <c r="A128" s="16" t="s">
        <v>10</v>
      </c>
      <c r="B128" s="16"/>
      <c r="C128" s="19">
        <f>SUM(C121:C127)</f>
        <v>73630</v>
      </c>
      <c r="D128" s="19">
        <f t="shared" ref="D128" si="15">SUM(D121:D127)</f>
        <v>70348</v>
      </c>
      <c r="E128" s="19">
        <f t="shared" ref="E128" si="16">SUM(E121:E127)</f>
        <v>73661</v>
      </c>
      <c r="F128" s="19">
        <f t="shared" ref="F128" si="17">SUM(F121:F127)</f>
        <v>74351</v>
      </c>
      <c r="G128" s="19">
        <f t="shared" ref="G128" si="18">SUM(G121:G127)</f>
        <v>80251</v>
      </c>
      <c r="H128" s="19">
        <f t="shared" ref="H128" si="19">SUM(H121:H127)</f>
        <v>76618</v>
      </c>
      <c r="I128" s="19">
        <f>SUM(C128:H128)</f>
        <v>448859</v>
      </c>
      <c r="J128" s="18">
        <v>0.76763796302089227</v>
      </c>
    </row>
    <row r="129" spans="1:10" ht="21" x14ac:dyDescent="0.35">
      <c r="A129" s="78">
        <v>2019</v>
      </c>
      <c r="B129" s="78"/>
      <c r="C129" s="78"/>
      <c r="D129" s="78"/>
      <c r="E129" s="78"/>
      <c r="F129" s="78"/>
      <c r="G129" s="78"/>
      <c r="H129" s="78"/>
      <c r="I129" s="78"/>
      <c r="J129" s="78"/>
    </row>
    <row r="130" spans="1:10" x14ac:dyDescent="0.25">
      <c r="A130" s="5"/>
      <c r="B130" s="5"/>
      <c r="C130" s="29" t="s">
        <v>5</v>
      </c>
      <c r="D130" s="29" t="s">
        <v>6</v>
      </c>
      <c r="E130" s="29" t="s">
        <v>7</v>
      </c>
      <c r="F130" s="29" t="s">
        <v>8</v>
      </c>
      <c r="G130" s="29" t="s">
        <v>3</v>
      </c>
      <c r="H130" s="29" t="s">
        <v>4</v>
      </c>
      <c r="I130" s="29" t="s">
        <v>10</v>
      </c>
      <c r="J130" s="29" t="s">
        <v>12</v>
      </c>
    </row>
    <row r="131" spans="1:10" x14ac:dyDescent="0.25">
      <c r="A131" s="77" t="s">
        <v>0</v>
      </c>
      <c r="B131" s="22" t="s">
        <v>1</v>
      </c>
      <c r="C131" s="9">
        <v>532</v>
      </c>
      <c r="D131" s="9">
        <v>468</v>
      </c>
      <c r="E131" s="9">
        <v>437</v>
      </c>
      <c r="F131" s="9">
        <v>433</v>
      </c>
      <c r="G131" s="9">
        <v>407</v>
      </c>
      <c r="H131" s="9">
        <v>412</v>
      </c>
      <c r="I131" s="9">
        <f t="shared" ref="I131:I137" si="20">SUM(C131:H131)</f>
        <v>2689</v>
      </c>
      <c r="J131" s="8">
        <f>I131/(9329)</f>
        <v>0.28824096902133134</v>
      </c>
    </row>
    <row r="132" spans="1:10" x14ac:dyDescent="0.25">
      <c r="A132" s="77"/>
      <c r="B132" s="22" t="s">
        <v>2</v>
      </c>
      <c r="C132" s="9">
        <v>2646</v>
      </c>
      <c r="D132" s="9">
        <v>2530</v>
      </c>
      <c r="E132" s="9">
        <v>2432</v>
      </c>
      <c r="F132" s="9">
        <v>2256</v>
      </c>
      <c r="G132" s="9">
        <v>2230</v>
      </c>
      <c r="H132" s="9">
        <v>2172</v>
      </c>
      <c r="I132" s="9">
        <f t="shared" si="20"/>
        <v>14266</v>
      </c>
      <c r="J132" s="8">
        <f>I132/(44804)</f>
        <v>0.31840907061869478</v>
      </c>
    </row>
    <row r="133" spans="1:10" x14ac:dyDescent="0.25">
      <c r="A133" s="30"/>
      <c r="B133" s="30"/>
      <c r="C133" s="12"/>
      <c r="D133" s="12"/>
      <c r="E133" s="12"/>
      <c r="F133" s="12"/>
      <c r="G133" s="12"/>
      <c r="H133" s="12"/>
      <c r="I133" s="12"/>
      <c r="J133" s="11"/>
    </row>
    <row r="134" spans="1:10" x14ac:dyDescent="0.25">
      <c r="A134" s="77" t="s">
        <v>9</v>
      </c>
      <c r="B134" s="22" t="s">
        <v>1</v>
      </c>
      <c r="C134" s="9">
        <v>15590</v>
      </c>
      <c r="D134" s="9">
        <v>14747</v>
      </c>
      <c r="E134" s="9">
        <v>13732</v>
      </c>
      <c r="F134" s="9">
        <v>16088</v>
      </c>
      <c r="G134" s="9">
        <v>14824</v>
      </c>
      <c r="H134" s="9">
        <v>14028</v>
      </c>
      <c r="I134" s="9">
        <f t="shared" si="20"/>
        <v>89009</v>
      </c>
      <c r="J134" s="8">
        <f>I134/(182388)</f>
        <v>0.48802004517841086</v>
      </c>
    </row>
    <row r="135" spans="1:10" x14ac:dyDescent="0.25">
      <c r="A135" s="77"/>
      <c r="B135" s="22" t="s">
        <v>2</v>
      </c>
      <c r="C135" s="9">
        <v>26076</v>
      </c>
      <c r="D135" s="9">
        <v>24500</v>
      </c>
      <c r="E135" s="9">
        <v>22602</v>
      </c>
      <c r="F135" s="9">
        <v>25795</v>
      </c>
      <c r="G135" s="9">
        <v>23559</v>
      </c>
      <c r="H135" s="9">
        <v>21799</v>
      </c>
      <c r="I135" s="9">
        <f t="shared" si="20"/>
        <v>144331</v>
      </c>
      <c r="J135" s="8">
        <f>I135/(168903)</f>
        <v>0.85452004996950914</v>
      </c>
    </row>
    <row r="136" spans="1:10" x14ac:dyDescent="0.25">
      <c r="A136" s="30"/>
      <c r="B136" s="30"/>
      <c r="C136" s="12"/>
      <c r="D136" s="12"/>
      <c r="E136" s="12"/>
      <c r="F136" s="12"/>
      <c r="G136" s="12"/>
      <c r="H136" s="12"/>
      <c r="I136" s="12"/>
      <c r="J136" s="12"/>
    </row>
    <row r="137" spans="1:10" ht="31.5" x14ac:dyDescent="0.25">
      <c r="A137" s="16" t="s">
        <v>13</v>
      </c>
      <c r="B137" s="16"/>
      <c r="C137" s="15">
        <v>25225</v>
      </c>
      <c r="D137" s="15">
        <v>23849</v>
      </c>
      <c r="E137" s="15">
        <v>23246</v>
      </c>
      <c r="F137" s="15">
        <v>29040</v>
      </c>
      <c r="G137" s="15">
        <v>26616</v>
      </c>
      <c r="H137" s="15">
        <v>24054</v>
      </c>
      <c r="I137" s="15">
        <f t="shared" si="20"/>
        <v>152030</v>
      </c>
      <c r="J137" s="14">
        <f>I137/(71110+95205)</f>
        <v>0.91410876950365272</v>
      </c>
    </row>
    <row r="138" spans="1:10" x14ac:dyDescent="0.25">
      <c r="A138" s="6"/>
      <c r="B138" s="6"/>
      <c r="C138" s="6"/>
      <c r="D138" s="6"/>
      <c r="E138" s="6"/>
      <c r="F138" s="6"/>
      <c r="G138" s="6"/>
      <c r="H138" s="6"/>
      <c r="I138" s="9"/>
      <c r="J138" s="9"/>
    </row>
    <row r="139" spans="1:10" x14ac:dyDescent="0.25">
      <c r="A139" s="16" t="s">
        <v>10</v>
      </c>
      <c r="B139" s="22"/>
      <c r="C139" s="19">
        <f t="shared" ref="C139:H139" si="21">SUM(C131:C137)</f>
        <v>70069</v>
      </c>
      <c r="D139" s="19">
        <f t="shared" si="21"/>
        <v>66094</v>
      </c>
      <c r="E139" s="19">
        <f t="shared" si="21"/>
        <v>62449</v>
      </c>
      <c r="F139" s="19">
        <f t="shared" si="21"/>
        <v>73612</v>
      </c>
      <c r="G139" s="19">
        <f t="shared" si="21"/>
        <v>67636</v>
      </c>
      <c r="H139" s="19">
        <f t="shared" si="21"/>
        <v>62465</v>
      </c>
      <c r="I139" s="19">
        <f>SUM(C139:H139)</f>
        <v>402325</v>
      </c>
      <c r="J139" s="18">
        <v>0.77315943460689596</v>
      </c>
    </row>
  </sheetData>
  <mergeCells count="45">
    <mergeCell ref="A101:A102"/>
    <mergeCell ref="A108:A109"/>
    <mergeCell ref="A50:J50"/>
    <mergeCell ref="A96:J96"/>
    <mergeCell ref="A60:J60"/>
    <mergeCell ref="A106:J106"/>
    <mergeCell ref="A49:J49"/>
    <mergeCell ref="A95:J95"/>
    <mergeCell ref="B1:J1"/>
    <mergeCell ref="A3:J3"/>
    <mergeCell ref="A26:J26"/>
    <mergeCell ref="A6:A7"/>
    <mergeCell ref="A9:A10"/>
    <mergeCell ref="A16:A17"/>
    <mergeCell ref="A19:A20"/>
    <mergeCell ref="A4:J4"/>
    <mergeCell ref="A14:J14"/>
    <mergeCell ref="A83:J83"/>
    <mergeCell ref="A129:J129"/>
    <mergeCell ref="A37:J37"/>
    <mergeCell ref="A5:B5"/>
    <mergeCell ref="A2:J2"/>
    <mergeCell ref="A73:J73"/>
    <mergeCell ref="A119:J119"/>
    <mergeCell ref="A27:J27"/>
    <mergeCell ref="A72:J72"/>
    <mergeCell ref="A118:J118"/>
    <mergeCell ref="A52:A53"/>
    <mergeCell ref="A55:A56"/>
    <mergeCell ref="A111:A112"/>
    <mergeCell ref="A62:A63"/>
    <mergeCell ref="A65:A66"/>
    <mergeCell ref="A98:A99"/>
    <mergeCell ref="A29:A30"/>
    <mergeCell ref="A75:A76"/>
    <mergeCell ref="A121:A122"/>
    <mergeCell ref="A32:A33"/>
    <mergeCell ref="A78:A79"/>
    <mergeCell ref="A124:A125"/>
    <mergeCell ref="A42:A43"/>
    <mergeCell ref="A88:A89"/>
    <mergeCell ref="A134:A135"/>
    <mergeCell ref="A39:A40"/>
    <mergeCell ref="A85:A86"/>
    <mergeCell ref="A131:A132"/>
  </mergeCells>
  <pageMargins left="0.7" right="0.7" top="0.75" bottom="0.25" header="0.3" footer="0.3"/>
  <pageSetup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Q106"/>
  <sheetViews>
    <sheetView showGridLines="0" zoomScale="80" zoomScaleNormal="80" workbookViewId="0">
      <selection activeCell="C1" sqref="A1:J1"/>
    </sheetView>
  </sheetViews>
  <sheetFormatPr defaultRowHeight="15" x14ac:dyDescent="0.25"/>
  <cols>
    <col min="1" max="1" width="11.7109375" bestFit="1" customWidth="1"/>
    <col min="2" max="2" width="13.5703125" bestFit="1" customWidth="1"/>
    <col min="3" max="3" width="16.5703125" customWidth="1"/>
    <col min="4" max="4" width="17.42578125" customWidth="1"/>
    <col min="5" max="5" width="16.42578125" customWidth="1"/>
    <col min="6" max="6" width="17.140625" customWidth="1"/>
    <col min="7" max="7" width="13.42578125" customWidth="1"/>
    <col min="8" max="8" width="13.5703125" customWidth="1"/>
    <col min="9" max="9" width="13.85546875" bestFit="1" customWidth="1"/>
    <col min="10" max="10" width="17.140625" bestFit="1" customWidth="1"/>
    <col min="11" max="11" width="11.7109375" bestFit="1" customWidth="1"/>
    <col min="12" max="12" width="13.5703125" bestFit="1" customWidth="1"/>
    <col min="13" max="13" width="16.5703125" customWidth="1"/>
    <col min="14" max="14" width="15.7109375" customWidth="1"/>
    <col min="15" max="15" width="16.42578125" customWidth="1"/>
    <col min="16" max="17" width="17.140625" customWidth="1"/>
    <col min="18" max="18" width="15.42578125" customWidth="1"/>
    <col min="19" max="19" width="16.5703125" customWidth="1"/>
    <col min="20" max="20" width="17.140625" bestFit="1" customWidth="1"/>
    <col min="21" max="21" width="11.7109375" bestFit="1" customWidth="1"/>
    <col min="22" max="22" width="13.5703125" bestFit="1" customWidth="1"/>
    <col min="23" max="29" width="11.7109375" customWidth="1"/>
    <col min="30" max="30" width="18.7109375" customWidth="1"/>
  </cols>
  <sheetData>
    <row r="1" spans="1:16371" ht="79.5" customHeight="1" x14ac:dyDescent="0.35">
      <c r="A1" s="92"/>
      <c r="B1" s="92"/>
      <c r="C1" s="90" t="s">
        <v>173</v>
      </c>
      <c r="D1" s="90"/>
      <c r="E1" s="90"/>
      <c r="F1" s="90"/>
      <c r="G1" s="90"/>
      <c r="H1" s="90"/>
      <c r="I1" s="90"/>
      <c r="J1" s="90"/>
    </row>
    <row r="2" spans="1:16371" ht="22.5" customHeight="1" x14ac:dyDescent="0.35">
      <c r="A2" s="91" t="s">
        <v>164</v>
      </c>
      <c r="B2" s="91"/>
      <c r="C2" s="91"/>
      <c r="D2" s="91"/>
      <c r="E2" s="91"/>
      <c r="F2" s="91"/>
      <c r="G2" s="91"/>
      <c r="H2" s="91"/>
      <c r="I2" s="91"/>
      <c r="J2" s="91"/>
    </row>
    <row r="3" spans="1:16371" s="4" customFormat="1" ht="23.25" x14ac:dyDescent="0.35">
      <c r="A3" s="81" t="s">
        <v>143</v>
      </c>
      <c r="B3" s="81"/>
      <c r="C3" s="81"/>
      <c r="D3" s="81"/>
      <c r="E3" s="81"/>
      <c r="F3" s="81"/>
      <c r="G3" s="81"/>
      <c r="H3" s="81"/>
      <c r="I3" s="81"/>
      <c r="J3" s="81"/>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row>
    <row r="4" spans="1:16371" ht="21" x14ac:dyDescent="0.35">
      <c r="A4" s="78">
        <v>2018</v>
      </c>
      <c r="B4" s="78"/>
      <c r="C4" s="78"/>
      <c r="D4" s="78"/>
      <c r="E4" s="78"/>
      <c r="F4" s="78"/>
      <c r="G4" s="78"/>
      <c r="H4" s="78"/>
      <c r="I4" s="78"/>
      <c r="J4" s="78"/>
    </row>
    <row r="5" spans="1:16371" s="1" customFormat="1" ht="15.75" x14ac:dyDescent="0.25">
      <c r="A5" s="5"/>
      <c r="B5" s="5"/>
      <c r="C5" s="29" t="s">
        <v>5</v>
      </c>
      <c r="D5" s="29" t="s">
        <v>6</v>
      </c>
      <c r="E5" s="29" t="s">
        <v>7</v>
      </c>
      <c r="F5" s="29" t="s">
        <v>8</v>
      </c>
      <c r="G5" s="29" t="s">
        <v>3</v>
      </c>
      <c r="H5" s="29" t="s">
        <v>4</v>
      </c>
      <c r="I5" s="29" t="s">
        <v>10</v>
      </c>
      <c r="J5" s="29" t="s">
        <v>11</v>
      </c>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row>
    <row r="6" spans="1:16371" ht="15.75" x14ac:dyDescent="0.25">
      <c r="A6" s="77" t="s">
        <v>0</v>
      </c>
      <c r="B6" s="22" t="s">
        <v>1</v>
      </c>
      <c r="C6" s="7">
        <v>122592.16</v>
      </c>
      <c r="D6" s="7">
        <v>212158.68</v>
      </c>
      <c r="E6" s="7">
        <v>445740</v>
      </c>
      <c r="F6" s="7">
        <v>148559.70000000001</v>
      </c>
      <c r="G6" s="7">
        <v>381714.62</v>
      </c>
      <c r="H6" s="7">
        <v>155909.69</v>
      </c>
      <c r="I6" s="7">
        <f>SUM(C6:H6)</f>
        <v>1466674.85</v>
      </c>
      <c r="J6" s="8">
        <f>I6/(4618963.39)</f>
        <v>0.31753333511482978</v>
      </c>
    </row>
    <row r="7" spans="1:16371" ht="15.75" x14ac:dyDescent="0.25">
      <c r="A7" s="77"/>
      <c r="B7" s="22" t="s">
        <v>2</v>
      </c>
      <c r="C7" s="7">
        <v>7087.1</v>
      </c>
      <c r="D7" s="7">
        <v>13017.26</v>
      </c>
      <c r="E7" s="7">
        <v>52061.33</v>
      </c>
      <c r="F7" s="7">
        <v>20737.46</v>
      </c>
      <c r="G7" s="7">
        <v>25990.65</v>
      </c>
      <c r="H7" s="7">
        <v>10835.19</v>
      </c>
      <c r="I7" s="7">
        <f>SUM(C7:H7)</f>
        <v>129728.98999999999</v>
      </c>
      <c r="J7" s="8">
        <f>I7/(532800.44)</f>
        <v>0.24348514051527437</v>
      </c>
    </row>
    <row r="8" spans="1:16371" ht="6" customHeight="1" x14ac:dyDescent="0.25">
      <c r="A8" s="30"/>
      <c r="B8" s="30"/>
      <c r="C8" s="10"/>
      <c r="D8" s="10"/>
      <c r="E8" s="10"/>
      <c r="F8" s="10"/>
      <c r="G8" s="10"/>
      <c r="H8" s="10"/>
      <c r="I8" s="10"/>
      <c r="J8" s="11"/>
    </row>
    <row r="9" spans="1:16371" ht="15.75" x14ac:dyDescent="0.25">
      <c r="A9" s="77" t="s">
        <v>9</v>
      </c>
      <c r="B9" s="22" t="s">
        <v>1</v>
      </c>
      <c r="C9" s="7">
        <v>975029.52</v>
      </c>
      <c r="D9" s="7">
        <v>859094.59</v>
      </c>
      <c r="E9" s="7">
        <v>1064040.48</v>
      </c>
      <c r="F9" s="7">
        <v>856071.95</v>
      </c>
      <c r="G9" s="7">
        <v>782930.56</v>
      </c>
      <c r="H9" s="7">
        <v>799097.32</v>
      </c>
      <c r="I9" s="7">
        <f>SUM(C9:H9)</f>
        <v>5336264.42</v>
      </c>
      <c r="J9" s="8">
        <f>I9/(8312477.4)</f>
        <v>0.64195836730936551</v>
      </c>
    </row>
    <row r="10" spans="1:16371" ht="15.75" x14ac:dyDescent="0.25">
      <c r="A10" s="77"/>
      <c r="B10" s="22" t="s">
        <v>2</v>
      </c>
      <c r="C10" s="7">
        <v>295355.74</v>
      </c>
      <c r="D10" s="7">
        <v>235961.03</v>
      </c>
      <c r="E10" s="7">
        <v>323082.90000000002</v>
      </c>
      <c r="F10" s="7">
        <v>264834.7</v>
      </c>
      <c r="G10" s="7">
        <v>251286.58</v>
      </c>
      <c r="H10" s="7">
        <v>222223.64</v>
      </c>
      <c r="I10" s="7">
        <f>SUM(C10:H10)</f>
        <v>1592744.5900000003</v>
      </c>
      <c r="J10" s="8">
        <f>I10/(2209374.35)</f>
        <v>0.72090299681446024</v>
      </c>
    </row>
    <row r="11" spans="1:16371" s="2" customFormat="1" ht="15.75" x14ac:dyDescent="0.25">
      <c r="A11" s="43" t="s">
        <v>10</v>
      </c>
      <c r="B11" s="22"/>
      <c r="C11" s="28">
        <f>SUM(C6:C10)</f>
        <v>1400064.52</v>
      </c>
      <c r="D11" s="28">
        <f t="shared" ref="D11:H11" si="0">SUM(D6:D10)</f>
        <v>1320231.56</v>
      </c>
      <c r="E11" s="28">
        <f t="shared" si="0"/>
        <v>1884924.71</v>
      </c>
      <c r="F11" s="28">
        <f t="shared" si="0"/>
        <v>1290203.81</v>
      </c>
      <c r="G11" s="28">
        <f t="shared" si="0"/>
        <v>1441922.4100000001</v>
      </c>
      <c r="H11" s="28">
        <f t="shared" si="0"/>
        <v>1188065.8399999999</v>
      </c>
      <c r="I11" s="28">
        <f>SUM(I6:I10)</f>
        <v>8525412.8499999996</v>
      </c>
      <c r="J11" s="8">
        <v>0.5948309213780627</v>
      </c>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row>
    <row r="12" spans="1:16371" ht="21" x14ac:dyDescent="0.35">
      <c r="A12" s="78">
        <v>2019</v>
      </c>
      <c r="B12" s="78"/>
      <c r="C12" s="78"/>
      <c r="D12" s="78"/>
      <c r="E12" s="78"/>
      <c r="F12" s="78"/>
      <c r="G12" s="78"/>
      <c r="H12" s="78"/>
      <c r="I12" s="78"/>
      <c r="J12" s="78"/>
    </row>
    <row r="13" spans="1:16371" s="1" customFormat="1" ht="15.75" x14ac:dyDescent="0.25">
      <c r="A13" s="5"/>
      <c r="B13" s="5"/>
      <c r="C13" s="29" t="s">
        <v>5</v>
      </c>
      <c r="D13" s="29" t="s">
        <v>6</v>
      </c>
      <c r="E13" s="29" t="s">
        <v>7</v>
      </c>
      <c r="F13" s="29" t="s">
        <v>8</v>
      </c>
      <c r="G13" s="29" t="s">
        <v>3</v>
      </c>
      <c r="H13" s="29" t="s">
        <v>4</v>
      </c>
      <c r="I13" s="29" t="s">
        <v>10</v>
      </c>
      <c r="J13" s="29" t="s">
        <v>11</v>
      </c>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row>
    <row r="14" spans="1:16371" ht="15.75" x14ac:dyDescent="0.25">
      <c r="A14" s="77" t="s">
        <v>0</v>
      </c>
      <c r="B14" s="22" t="s">
        <v>1</v>
      </c>
      <c r="C14" s="7">
        <v>117519.72</v>
      </c>
      <c r="D14" s="7">
        <v>193634.77</v>
      </c>
      <c r="E14" s="7">
        <v>58435.03</v>
      </c>
      <c r="F14" s="7">
        <v>233512.47</v>
      </c>
      <c r="G14" s="7">
        <v>192449.83</v>
      </c>
      <c r="H14" s="7">
        <v>127856.55</v>
      </c>
      <c r="I14" s="7">
        <f>SUM(C14:H14)</f>
        <v>923408.37</v>
      </c>
      <c r="J14" s="8">
        <f>I14/(3388023.21)</f>
        <v>0.27255078042986608</v>
      </c>
    </row>
    <row r="15" spans="1:16371" ht="15.75" x14ac:dyDescent="0.25">
      <c r="A15" s="77"/>
      <c r="B15" s="22" t="s">
        <v>2</v>
      </c>
      <c r="C15" s="7">
        <v>11593.82</v>
      </c>
      <c r="D15" s="7">
        <v>15017.36</v>
      </c>
      <c r="E15" s="7">
        <v>9978.66</v>
      </c>
      <c r="F15" s="7">
        <v>30044.77</v>
      </c>
      <c r="G15" s="7">
        <v>14699.14</v>
      </c>
      <c r="H15" s="7">
        <v>12801.28</v>
      </c>
      <c r="I15" s="7">
        <f>SUM(C15:H15)</f>
        <v>94135.03</v>
      </c>
      <c r="J15" s="8">
        <f>I15/(409493.87)</f>
        <v>0.22988141434205109</v>
      </c>
    </row>
    <row r="16" spans="1:16371" ht="6" customHeight="1" x14ac:dyDescent="0.25">
      <c r="A16" s="30"/>
      <c r="B16" s="30"/>
      <c r="C16" s="10"/>
      <c r="D16" s="10"/>
      <c r="E16" s="10"/>
      <c r="F16" s="10"/>
      <c r="G16" s="10"/>
      <c r="H16" s="10"/>
      <c r="I16" s="10"/>
      <c r="J16" s="11"/>
    </row>
    <row r="17" spans="1:16371" ht="15.75" x14ac:dyDescent="0.25">
      <c r="A17" s="77" t="s">
        <v>9</v>
      </c>
      <c r="B17" s="22" t="s">
        <v>1</v>
      </c>
      <c r="C17" s="7">
        <v>874355</v>
      </c>
      <c r="D17" s="7">
        <v>936243.34</v>
      </c>
      <c r="E17" s="7">
        <v>791198.02</v>
      </c>
      <c r="F17" s="7">
        <v>1002971.05</v>
      </c>
      <c r="G17" s="7">
        <v>895647.09</v>
      </c>
      <c r="H17" s="7">
        <v>569325.06999999995</v>
      </c>
      <c r="I17" s="7">
        <f>SUM(C17:H17)</f>
        <v>5069739.57</v>
      </c>
      <c r="J17" s="8">
        <f>I17/(8356494.04)</f>
        <v>0.60668260465844837</v>
      </c>
    </row>
    <row r="18" spans="1:16371" ht="15.75" x14ac:dyDescent="0.25">
      <c r="A18" s="77"/>
      <c r="B18" s="22" t="s">
        <v>2</v>
      </c>
      <c r="C18" s="7">
        <v>295470.19</v>
      </c>
      <c r="D18" s="7">
        <v>274095.02</v>
      </c>
      <c r="E18" s="7">
        <v>243711.93</v>
      </c>
      <c r="F18" s="7">
        <v>339301.64</v>
      </c>
      <c r="G18" s="7">
        <v>283864</v>
      </c>
      <c r="H18" s="7">
        <v>173772.42</v>
      </c>
      <c r="I18" s="7">
        <f>SUM(C18:H18)</f>
        <v>1610215.1999999997</v>
      </c>
      <c r="J18" s="8">
        <f>I18/(2256087.25)</f>
        <v>0.71372026946209621</v>
      </c>
    </row>
    <row r="19" spans="1:16371" ht="15.75" x14ac:dyDescent="0.25">
      <c r="A19" s="43" t="s">
        <v>10</v>
      </c>
      <c r="B19" s="22"/>
      <c r="C19" s="28">
        <f>SUM(C14:C18)</f>
        <v>1298938.73</v>
      </c>
      <c r="D19" s="28">
        <f t="shared" ref="D19" si="1">SUM(D14:D18)</f>
        <v>1418990.49</v>
      </c>
      <c r="E19" s="28">
        <f t="shared" ref="E19" si="2">SUM(E14:E18)</f>
        <v>1103323.6399999999</v>
      </c>
      <c r="F19" s="28">
        <f t="shared" ref="F19" si="3">SUM(F14:F18)</f>
        <v>1605829.9300000002</v>
      </c>
      <c r="G19" s="28">
        <f t="shared" ref="G19" si="4">SUM(G14:G18)</f>
        <v>1386660.06</v>
      </c>
      <c r="H19" s="28">
        <f t="shared" ref="H19" si="5">SUM(H14:H18)</f>
        <v>883755.32</v>
      </c>
      <c r="I19" s="28">
        <f>SUM(I14:I18)</f>
        <v>7697498.1699999999</v>
      </c>
      <c r="J19" s="44">
        <v>0.58438228890648336</v>
      </c>
    </row>
    <row r="20" spans="1:16371" s="4" customFormat="1" ht="23.25" x14ac:dyDescent="0.35">
      <c r="A20" s="81" t="s">
        <v>141</v>
      </c>
      <c r="B20" s="81"/>
      <c r="C20" s="81"/>
      <c r="D20" s="81"/>
      <c r="E20" s="81"/>
      <c r="F20" s="81"/>
      <c r="G20" s="81"/>
      <c r="H20" s="81"/>
      <c r="I20" s="81"/>
      <c r="J20" s="81"/>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row>
    <row r="21" spans="1:16371" ht="21" x14ac:dyDescent="0.35">
      <c r="A21" s="78">
        <v>2018</v>
      </c>
      <c r="B21" s="78"/>
      <c r="C21" s="78"/>
      <c r="D21" s="78"/>
      <c r="E21" s="78"/>
      <c r="F21" s="78"/>
      <c r="G21" s="78"/>
      <c r="H21" s="78"/>
      <c r="I21" s="78"/>
      <c r="J21" s="78"/>
    </row>
    <row r="22" spans="1:16371" s="1" customFormat="1" ht="15.75" x14ac:dyDescent="0.25">
      <c r="A22" s="5"/>
      <c r="B22" s="5"/>
      <c r="C22" s="29" t="s">
        <v>5</v>
      </c>
      <c r="D22" s="29" t="s">
        <v>6</v>
      </c>
      <c r="E22" s="29" t="s">
        <v>7</v>
      </c>
      <c r="F22" s="29" t="s">
        <v>8</v>
      </c>
      <c r="G22" s="29" t="s">
        <v>3</v>
      </c>
      <c r="H22" s="29" t="s">
        <v>4</v>
      </c>
      <c r="I22" s="29" t="s">
        <v>10</v>
      </c>
      <c r="J22" s="29" t="s">
        <v>11</v>
      </c>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row>
    <row r="23" spans="1:16371" ht="15.75" x14ac:dyDescent="0.25">
      <c r="A23" s="77" t="s">
        <v>0</v>
      </c>
      <c r="B23" s="22" t="s">
        <v>1</v>
      </c>
      <c r="C23" s="7">
        <v>122592.16</v>
      </c>
      <c r="D23" s="7">
        <v>212158.68</v>
      </c>
      <c r="E23" s="7">
        <v>445740</v>
      </c>
      <c r="F23" s="7">
        <v>172566.16</v>
      </c>
      <c r="G23" s="7">
        <v>400857.26</v>
      </c>
      <c r="H23" s="7">
        <v>221178.63</v>
      </c>
      <c r="I23" s="7">
        <f>SUM(C23:H23)</f>
        <v>1575092.8900000001</v>
      </c>
      <c r="J23" s="8">
        <f>I23/(4618963.39)</f>
        <v>0.34100570994133822</v>
      </c>
    </row>
    <row r="24" spans="1:16371" ht="15.75" x14ac:dyDescent="0.25">
      <c r="A24" s="77"/>
      <c r="B24" s="22" t="s">
        <v>2</v>
      </c>
      <c r="C24" s="7">
        <v>7087.1</v>
      </c>
      <c r="D24" s="7">
        <v>13017.26</v>
      </c>
      <c r="E24" s="7">
        <v>52061.33</v>
      </c>
      <c r="F24" s="7">
        <v>22719.8</v>
      </c>
      <c r="G24" s="7">
        <v>28853.87</v>
      </c>
      <c r="H24" s="7">
        <v>15657.61</v>
      </c>
      <c r="I24" s="7">
        <f>SUM(C24:H24)</f>
        <v>139396.97</v>
      </c>
      <c r="J24" s="8">
        <f>I24/(532800.44)</f>
        <v>0.26163073363828304</v>
      </c>
    </row>
    <row r="25" spans="1:16371" ht="6" customHeight="1" x14ac:dyDescent="0.25">
      <c r="A25" s="30"/>
      <c r="B25" s="30"/>
      <c r="C25" s="10"/>
      <c r="D25" s="10"/>
      <c r="E25" s="10"/>
      <c r="F25" s="10"/>
      <c r="G25" s="10"/>
      <c r="H25" s="10"/>
      <c r="I25" s="10"/>
      <c r="J25" s="11"/>
    </row>
    <row r="26" spans="1:16371" ht="15.75" x14ac:dyDescent="0.25">
      <c r="A26" s="77" t="s">
        <v>9</v>
      </c>
      <c r="B26" s="22" t="s">
        <v>1</v>
      </c>
      <c r="C26" s="7">
        <v>1053298.04</v>
      </c>
      <c r="D26" s="7">
        <v>931491.8</v>
      </c>
      <c r="E26" s="7">
        <v>1104843</v>
      </c>
      <c r="F26" s="7">
        <v>892844.73</v>
      </c>
      <c r="G26" s="7">
        <v>815358.58</v>
      </c>
      <c r="H26" s="7">
        <v>884974.21</v>
      </c>
      <c r="I26" s="7">
        <f>SUM(C26:H26)</f>
        <v>5682810.3599999994</v>
      </c>
      <c r="J26" s="8">
        <f>I26/(8312477.4)</f>
        <v>0.68364821779846274</v>
      </c>
    </row>
    <row r="27" spans="1:16371" ht="15.75" x14ac:dyDescent="0.25">
      <c r="A27" s="77"/>
      <c r="B27" s="22" t="s">
        <v>2</v>
      </c>
      <c r="C27" s="7">
        <v>312236.65999999997</v>
      </c>
      <c r="D27" s="7">
        <v>256467.76</v>
      </c>
      <c r="E27" s="7">
        <v>338454.16</v>
      </c>
      <c r="F27" s="7">
        <v>284818.02</v>
      </c>
      <c r="G27" s="7">
        <v>263572.09000000003</v>
      </c>
      <c r="H27" s="7">
        <v>238381.06</v>
      </c>
      <c r="I27" s="7">
        <f>SUM(C27:H27)</f>
        <v>1693929.75</v>
      </c>
      <c r="J27" s="8">
        <f>I27/(2209374.35)</f>
        <v>0.76670110250895229</v>
      </c>
    </row>
    <row r="28" spans="1:16371" ht="15.75" x14ac:dyDescent="0.25">
      <c r="A28" s="43" t="s">
        <v>10</v>
      </c>
      <c r="B28" s="22"/>
      <c r="C28" s="28">
        <f>SUM(C23:C27)</f>
        <v>1495213.96</v>
      </c>
      <c r="D28" s="28">
        <f t="shared" ref="D28:I28" si="6">SUM(D23:D27)</f>
        <v>1413135.5</v>
      </c>
      <c r="E28" s="28">
        <f t="shared" si="6"/>
        <v>1941098.49</v>
      </c>
      <c r="F28" s="28">
        <f t="shared" si="6"/>
        <v>1372948.71</v>
      </c>
      <c r="G28" s="28">
        <f t="shared" si="6"/>
        <v>1508641.8</v>
      </c>
      <c r="H28" s="28">
        <f t="shared" si="6"/>
        <v>1360191.51</v>
      </c>
      <c r="I28" s="28">
        <f t="shared" si="6"/>
        <v>9091229.9699999988</v>
      </c>
      <c r="J28" s="8">
        <v>0.6332880370756272</v>
      </c>
    </row>
    <row r="29" spans="1:16371" ht="21" x14ac:dyDescent="0.35">
      <c r="A29" s="78">
        <v>2019</v>
      </c>
      <c r="B29" s="78"/>
      <c r="C29" s="78"/>
      <c r="D29" s="78"/>
      <c r="E29" s="78"/>
      <c r="F29" s="78"/>
      <c r="G29" s="78"/>
      <c r="H29" s="78"/>
      <c r="I29" s="78"/>
      <c r="J29" s="78"/>
    </row>
    <row r="30" spans="1:16371" s="1" customFormat="1" ht="15.75" x14ac:dyDescent="0.25">
      <c r="A30" s="5"/>
      <c r="B30" s="5"/>
      <c r="C30" s="29" t="s">
        <v>5</v>
      </c>
      <c r="D30" s="29" t="s">
        <v>6</v>
      </c>
      <c r="E30" s="29" t="s">
        <v>7</v>
      </c>
      <c r="F30" s="29" t="s">
        <v>8</v>
      </c>
      <c r="G30" s="29" t="s">
        <v>3</v>
      </c>
      <c r="H30" s="29" t="s">
        <v>4</v>
      </c>
      <c r="I30" s="29" t="s">
        <v>10</v>
      </c>
      <c r="J30" s="29" t="s">
        <v>11</v>
      </c>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row>
    <row r="31" spans="1:16371" ht="15.75" x14ac:dyDescent="0.25">
      <c r="A31" s="77" t="s">
        <v>0</v>
      </c>
      <c r="B31" s="22" t="s">
        <v>1</v>
      </c>
      <c r="C31" s="7">
        <v>117519.72</v>
      </c>
      <c r="D31" s="7">
        <v>213490.07</v>
      </c>
      <c r="E31" s="7">
        <v>84146.48</v>
      </c>
      <c r="F31" s="7">
        <v>298499.71000000002</v>
      </c>
      <c r="G31" s="7">
        <v>222027.12</v>
      </c>
      <c r="H31" s="7">
        <v>127856.55</v>
      </c>
      <c r="I31" s="7">
        <f>SUM(C31:H31)</f>
        <v>1063539.6499999999</v>
      </c>
      <c r="J31" s="8">
        <f>I31/(3388023.21)</f>
        <v>0.31391155965546053</v>
      </c>
    </row>
    <row r="32" spans="1:16371" ht="15.75" x14ac:dyDescent="0.25">
      <c r="A32" s="77"/>
      <c r="B32" s="22" t="s">
        <v>2</v>
      </c>
      <c r="C32" s="7">
        <v>11593.82</v>
      </c>
      <c r="D32" s="7">
        <v>16866.509999999998</v>
      </c>
      <c r="E32" s="7">
        <v>12923</v>
      </c>
      <c r="F32" s="7">
        <v>33523.93</v>
      </c>
      <c r="G32" s="7">
        <v>14699.14</v>
      </c>
      <c r="H32" s="7">
        <v>12801.28</v>
      </c>
      <c r="I32" s="7">
        <f>SUM(C32:H32)</f>
        <v>102407.68000000001</v>
      </c>
      <c r="J32" s="8">
        <f>I32/(409493.87)</f>
        <v>0.25008354825922058</v>
      </c>
    </row>
    <row r="33" spans="1:10" ht="5.25" customHeight="1" x14ac:dyDescent="0.25">
      <c r="A33" s="30"/>
      <c r="B33" s="30"/>
      <c r="C33" s="10"/>
      <c r="D33" s="10"/>
      <c r="E33" s="10"/>
      <c r="F33" s="10"/>
      <c r="G33" s="10"/>
      <c r="H33" s="10"/>
      <c r="I33" s="10"/>
      <c r="J33" s="11"/>
    </row>
    <row r="34" spans="1:10" ht="15.75" x14ac:dyDescent="0.25">
      <c r="A34" s="77" t="s">
        <v>9</v>
      </c>
      <c r="B34" s="22" t="s">
        <v>1</v>
      </c>
      <c r="C34" s="7">
        <v>974348.13</v>
      </c>
      <c r="D34" s="7">
        <v>1002931.91</v>
      </c>
      <c r="E34" s="7">
        <v>868007.6</v>
      </c>
      <c r="F34" s="7">
        <v>1084132.05</v>
      </c>
      <c r="G34" s="7">
        <v>973964.7</v>
      </c>
      <c r="H34" s="7">
        <v>651194.18000000005</v>
      </c>
      <c r="I34" s="7">
        <f>SUM(C34:H34)</f>
        <v>5554578.5700000003</v>
      </c>
      <c r="J34" s="8">
        <f>I34/(8356494.04)</f>
        <v>0.66470203214552881</v>
      </c>
    </row>
    <row r="35" spans="1:10" ht="15.75" x14ac:dyDescent="0.25">
      <c r="A35" s="77"/>
      <c r="B35" s="22" t="s">
        <v>2</v>
      </c>
      <c r="C35" s="7">
        <v>317651.95</v>
      </c>
      <c r="D35" s="7">
        <v>292379.33</v>
      </c>
      <c r="E35" s="7">
        <v>269196.98</v>
      </c>
      <c r="F35" s="7">
        <v>368593.61</v>
      </c>
      <c r="G35" s="7">
        <v>306212.36</v>
      </c>
      <c r="H35" s="7">
        <v>182801.09</v>
      </c>
      <c r="I35" s="7">
        <f>SUM(C35:H35)</f>
        <v>1736835.32</v>
      </c>
      <c r="J35" s="8">
        <f>I35/(2256087.25)</f>
        <v>0.76984403861153861</v>
      </c>
    </row>
    <row r="36" spans="1:10" ht="15.75" x14ac:dyDescent="0.25">
      <c r="A36" s="43" t="s">
        <v>10</v>
      </c>
      <c r="B36" s="22"/>
      <c r="C36" s="28">
        <f>SUM(C31:C35)</f>
        <v>1421113.6199999999</v>
      </c>
      <c r="D36" s="28">
        <f t="shared" ref="D36" si="7">SUM(D31:D35)</f>
        <v>1525667.82</v>
      </c>
      <c r="E36" s="28">
        <f t="shared" ref="E36" si="8">SUM(E31:E35)</f>
        <v>1234274.06</v>
      </c>
      <c r="F36" s="28">
        <f t="shared" ref="F36" si="9">SUM(F31:F35)</f>
        <v>1784749.2999999998</v>
      </c>
      <c r="G36" s="28">
        <f t="shared" ref="G36" si="10">SUM(G31:G35)</f>
        <v>1516903.3199999998</v>
      </c>
      <c r="H36" s="28">
        <f t="shared" ref="H36" si="11">SUM(H31:H35)</f>
        <v>974653.1</v>
      </c>
      <c r="I36" s="28">
        <f t="shared" ref="I36" si="12">SUM(I31:I35)</f>
        <v>8457361.2200000007</v>
      </c>
      <c r="J36" s="8">
        <v>0.63716089527665776</v>
      </c>
    </row>
    <row r="37" spans="1:10" x14ac:dyDescent="0.25">
      <c r="A37" s="88"/>
      <c r="B37" s="88"/>
      <c r="C37" s="88"/>
      <c r="D37" s="88"/>
      <c r="E37" s="88"/>
      <c r="F37" s="88"/>
      <c r="G37" s="88"/>
      <c r="H37" s="88"/>
      <c r="I37" s="88"/>
      <c r="J37" s="88"/>
    </row>
    <row r="38" spans="1:10" ht="23.25" x14ac:dyDescent="0.35">
      <c r="A38" s="81" t="s">
        <v>142</v>
      </c>
      <c r="B38" s="81"/>
      <c r="C38" s="81"/>
      <c r="D38" s="81"/>
      <c r="E38" s="81"/>
      <c r="F38" s="81"/>
      <c r="G38" s="81"/>
      <c r="H38" s="81"/>
      <c r="I38" s="81"/>
      <c r="J38" s="81"/>
    </row>
    <row r="39" spans="1:10" ht="21" x14ac:dyDescent="0.35">
      <c r="A39" s="78">
        <v>2018</v>
      </c>
      <c r="B39" s="78"/>
      <c r="C39" s="78"/>
      <c r="D39" s="78"/>
      <c r="E39" s="78"/>
      <c r="F39" s="78"/>
      <c r="G39" s="78"/>
      <c r="H39" s="78"/>
      <c r="I39" s="78"/>
      <c r="J39" s="78"/>
    </row>
    <row r="40" spans="1:10" ht="15.75" x14ac:dyDescent="0.25">
      <c r="A40" s="5"/>
      <c r="B40" s="5"/>
      <c r="C40" s="29" t="s">
        <v>5</v>
      </c>
      <c r="D40" s="29" t="s">
        <v>6</v>
      </c>
      <c r="E40" s="29" t="s">
        <v>7</v>
      </c>
      <c r="F40" s="29" t="s">
        <v>8</v>
      </c>
      <c r="G40" s="29" t="s">
        <v>3</v>
      </c>
      <c r="H40" s="29" t="s">
        <v>4</v>
      </c>
      <c r="I40" s="29" t="s">
        <v>10</v>
      </c>
      <c r="J40" s="29" t="s">
        <v>11</v>
      </c>
    </row>
    <row r="41" spans="1:10" ht="15.75" x14ac:dyDescent="0.25">
      <c r="A41" s="9" t="s">
        <v>0</v>
      </c>
      <c r="B41" s="22" t="s">
        <v>1</v>
      </c>
      <c r="C41" s="7">
        <v>112635.37</v>
      </c>
      <c r="D41" s="7">
        <v>203964.33</v>
      </c>
      <c r="E41" s="7">
        <v>430709.38</v>
      </c>
      <c r="F41" s="7">
        <v>145029.57999999999</v>
      </c>
      <c r="G41" s="7">
        <v>370172.4</v>
      </c>
      <c r="H41" s="7">
        <v>152617.29</v>
      </c>
      <c r="I41" s="7">
        <f>SUM(C41:H41)</f>
        <v>1415128.35</v>
      </c>
      <c r="J41" s="8">
        <f>I41/(4372355.26)</f>
        <v>0.32365356103291576</v>
      </c>
    </row>
    <row r="42" spans="1:10" ht="15.75" x14ac:dyDescent="0.25">
      <c r="A42" s="9"/>
      <c r="B42" s="22" t="s">
        <v>2</v>
      </c>
      <c r="C42" s="7">
        <v>2925.56</v>
      </c>
      <c r="D42" s="7">
        <v>10383.09</v>
      </c>
      <c r="E42" s="7">
        <v>40450.43</v>
      </c>
      <c r="F42" s="7">
        <v>19519.990000000002</v>
      </c>
      <c r="G42" s="7">
        <v>20254.419999999998</v>
      </c>
      <c r="H42" s="7">
        <v>4907.24</v>
      </c>
      <c r="I42" s="7">
        <f>SUM(C42:H42)</f>
        <v>98440.73000000001</v>
      </c>
      <c r="J42" s="8">
        <f>I42/(437577.73)</f>
        <v>0.22496741321821842</v>
      </c>
    </row>
    <row r="43" spans="1:10" ht="15.75" x14ac:dyDescent="0.25">
      <c r="A43" s="30"/>
      <c r="B43" s="30"/>
      <c r="C43" s="10"/>
      <c r="D43" s="10"/>
      <c r="E43" s="10"/>
      <c r="F43" s="10"/>
      <c r="G43" s="10"/>
      <c r="H43" s="10"/>
      <c r="I43" s="10"/>
      <c r="J43" s="11"/>
    </row>
    <row r="44" spans="1:10" ht="15.75" x14ac:dyDescent="0.25">
      <c r="A44" s="77" t="s">
        <v>9</v>
      </c>
      <c r="B44" s="22" t="s">
        <v>1</v>
      </c>
      <c r="C44" s="7">
        <v>786690.22</v>
      </c>
      <c r="D44" s="7">
        <v>696234.94</v>
      </c>
      <c r="E44" s="7">
        <v>916562.06</v>
      </c>
      <c r="F44" s="7">
        <v>723409.1</v>
      </c>
      <c r="G44" s="7">
        <v>661333.59</v>
      </c>
      <c r="H44" s="7">
        <v>706871.14</v>
      </c>
      <c r="I44" s="7">
        <f>SUM(C44:H44)</f>
        <v>4491101.05</v>
      </c>
      <c r="J44" s="8">
        <f>I44/(6805257.26)</f>
        <v>0.65994581518583173</v>
      </c>
    </row>
    <row r="45" spans="1:10" ht="15.75" x14ac:dyDescent="0.25">
      <c r="A45" s="77"/>
      <c r="B45" s="22" t="s">
        <v>2</v>
      </c>
      <c r="C45" s="7">
        <v>217828.85</v>
      </c>
      <c r="D45" s="7">
        <v>175670.86</v>
      </c>
      <c r="E45" s="7">
        <v>257650.77</v>
      </c>
      <c r="F45" s="7">
        <v>216153.06</v>
      </c>
      <c r="G45" s="7">
        <v>204811.88</v>
      </c>
      <c r="H45" s="7">
        <v>192334.7</v>
      </c>
      <c r="I45" s="7">
        <f>SUM(C45:H45)</f>
        <v>1264450.1199999999</v>
      </c>
      <c r="J45" s="8">
        <f>I45/(1731724.11)</f>
        <v>0.73016834072951708</v>
      </c>
    </row>
    <row r="46" spans="1:10" ht="15.75" x14ac:dyDescent="0.25">
      <c r="A46" s="43" t="s">
        <v>10</v>
      </c>
      <c r="B46" s="22"/>
      <c r="C46" s="28">
        <f>SUM(C41:C45)</f>
        <v>1120080</v>
      </c>
      <c r="D46" s="28">
        <f t="shared" ref="D46" si="13">SUM(D41:D45)</f>
        <v>1086253.2199999997</v>
      </c>
      <c r="E46" s="28">
        <f t="shared" ref="E46" si="14">SUM(E41:E45)</f>
        <v>1645372.6400000001</v>
      </c>
      <c r="F46" s="28">
        <f t="shared" ref="F46" si="15">SUM(F41:F45)</f>
        <v>1104111.73</v>
      </c>
      <c r="G46" s="28">
        <f t="shared" ref="G46" si="16">SUM(G41:G45)</f>
        <v>1256572.29</v>
      </c>
      <c r="H46" s="28">
        <f t="shared" ref="H46" si="17">SUM(H41:H45)</f>
        <v>1056730.3700000001</v>
      </c>
      <c r="I46" s="28">
        <f>SUM(I41:I45)</f>
        <v>7269120.25</v>
      </c>
      <c r="J46" s="8">
        <v>0.6008020125625767</v>
      </c>
    </row>
    <row r="47" spans="1:10" ht="21" x14ac:dyDescent="0.35">
      <c r="A47" s="78">
        <v>2019</v>
      </c>
      <c r="B47" s="78"/>
      <c r="C47" s="78"/>
      <c r="D47" s="78"/>
      <c r="E47" s="78"/>
      <c r="F47" s="78"/>
      <c r="G47" s="78"/>
      <c r="H47" s="78"/>
      <c r="I47" s="78"/>
      <c r="J47" s="78"/>
    </row>
    <row r="48" spans="1:10" ht="15.75" x14ac:dyDescent="0.25">
      <c r="A48" s="5"/>
      <c r="B48" s="5"/>
      <c r="C48" s="29" t="s">
        <v>5</v>
      </c>
      <c r="D48" s="29" t="s">
        <v>6</v>
      </c>
      <c r="E48" s="29" t="s">
        <v>7</v>
      </c>
      <c r="F48" s="29" t="s">
        <v>8</v>
      </c>
      <c r="G48" s="29" t="s">
        <v>3</v>
      </c>
      <c r="H48" s="29" t="s">
        <v>4</v>
      </c>
      <c r="I48" s="29" t="s">
        <v>10</v>
      </c>
      <c r="J48" s="29" t="s">
        <v>11</v>
      </c>
    </row>
    <row r="49" spans="1:10" ht="15.75" x14ac:dyDescent="0.25">
      <c r="A49" s="77" t="s">
        <v>0</v>
      </c>
      <c r="B49" s="22" t="s">
        <v>1</v>
      </c>
      <c r="C49" s="7">
        <v>111258.94</v>
      </c>
      <c r="D49" s="7">
        <v>186413.51</v>
      </c>
      <c r="E49" s="7">
        <v>54574.89</v>
      </c>
      <c r="F49" s="7">
        <v>227920.84</v>
      </c>
      <c r="G49" s="7">
        <v>180483.71</v>
      </c>
      <c r="H49" s="7">
        <v>127785.62</v>
      </c>
      <c r="I49" s="7">
        <f>SUM(C49:H49)</f>
        <v>888437.51</v>
      </c>
      <c r="J49" s="8">
        <f>I49/(3132957.16)</f>
        <v>0.28357793120924768</v>
      </c>
    </row>
    <row r="50" spans="1:10" ht="15.75" x14ac:dyDescent="0.25">
      <c r="A50" s="77"/>
      <c r="B50" s="22" t="s">
        <v>2</v>
      </c>
      <c r="C50" s="7">
        <v>8741.32</v>
      </c>
      <c r="D50" s="7">
        <v>13673.53</v>
      </c>
      <c r="E50" s="7">
        <v>9204</v>
      </c>
      <c r="F50" s="7">
        <v>27654.720000000001</v>
      </c>
      <c r="G50" s="7">
        <v>5258.8</v>
      </c>
      <c r="H50" s="7">
        <v>9977.9699999999993</v>
      </c>
      <c r="I50" s="7">
        <f>SUM(C50:H50)</f>
        <v>74510.34</v>
      </c>
      <c r="J50" s="8">
        <f>I50/(341371.17)</f>
        <v>0.21826781681651675</v>
      </c>
    </row>
    <row r="51" spans="1:10" ht="15.75" x14ac:dyDescent="0.25">
      <c r="A51" s="30"/>
      <c r="B51" s="30"/>
      <c r="C51" s="10"/>
      <c r="D51" s="10"/>
      <c r="E51" s="10"/>
      <c r="F51" s="10"/>
      <c r="G51" s="10"/>
      <c r="H51" s="10"/>
      <c r="I51" s="10"/>
      <c r="J51" s="11"/>
    </row>
    <row r="52" spans="1:10" ht="15.75" x14ac:dyDescent="0.25">
      <c r="A52" s="77" t="s">
        <v>9</v>
      </c>
      <c r="B52" s="22" t="s">
        <v>1</v>
      </c>
      <c r="C52" s="7">
        <v>699113.37</v>
      </c>
      <c r="D52" s="7">
        <v>785286.83</v>
      </c>
      <c r="E52" s="7">
        <v>684818.07</v>
      </c>
      <c r="F52" s="7">
        <v>857355.26</v>
      </c>
      <c r="G52" s="7">
        <v>796495.47</v>
      </c>
      <c r="H52" s="7">
        <v>486593.88</v>
      </c>
      <c r="I52" s="7">
        <f>SUM(C52:H52)</f>
        <v>4309662.88</v>
      </c>
      <c r="J52" s="8">
        <f>I52/(6951094.11)</f>
        <v>0.61999777471003048</v>
      </c>
    </row>
    <row r="53" spans="1:10" ht="15.75" x14ac:dyDescent="0.25">
      <c r="A53" s="77"/>
      <c r="B53" s="22" t="s">
        <v>2</v>
      </c>
      <c r="C53" s="7">
        <v>218623.32</v>
      </c>
      <c r="D53" s="7">
        <v>232652.67</v>
      </c>
      <c r="E53" s="7">
        <v>202893.03</v>
      </c>
      <c r="F53" s="7">
        <v>265016.23</v>
      </c>
      <c r="G53" s="7">
        <v>240275.03</v>
      </c>
      <c r="H53" s="7">
        <v>142882.6</v>
      </c>
      <c r="I53" s="7">
        <f>SUM(C53:H53)</f>
        <v>1302342.8800000001</v>
      </c>
      <c r="J53" s="8">
        <f>I53/(1755065.51)</f>
        <v>0.74204801620197081</v>
      </c>
    </row>
    <row r="54" spans="1:10" ht="15.75" x14ac:dyDescent="0.25">
      <c r="A54" s="43" t="s">
        <v>10</v>
      </c>
      <c r="B54" s="22"/>
      <c r="C54" s="28">
        <f>SUM(C49:C53)</f>
        <v>1037736.95</v>
      </c>
      <c r="D54" s="28">
        <f t="shared" ref="D54" si="18">SUM(D49:D53)</f>
        <v>1218026.54</v>
      </c>
      <c r="E54" s="28">
        <f t="shared" ref="E54" si="19">SUM(E49:E53)</f>
        <v>951489.99</v>
      </c>
      <c r="F54" s="28">
        <f t="shared" ref="F54" si="20">SUM(F49:F53)</f>
        <v>1377947.05</v>
      </c>
      <c r="G54" s="28">
        <f t="shared" ref="G54" si="21">SUM(G49:G53)</f>
        <v>1222513.01</v>
      </c>
      <c r="H54" s="28">
        <f t="shared" ref="H54" si="22">SUM(H49:H53)</f>
        <v>767240.07</v>
      </c>
      <c r="I54" s="28">
        <f>SUM(I49:I53)</f>
        <v>6574953.6099999994</v>
      </c>
      <c r="J54" s="44">
        <v>0.59416188431567263</v>
      </c>
    </row>
    <row r="55" spans="1:10" ht="23.25" x14ac:dyDescent="0.35">
      <c r="A55" s="81" t="s">
        <v>145</v>
      </c>
      <c r="B55" s="81"/>
      <c r="C55" s="81"/>
      <c r="D55" s="81"/>
      <c r="E55" s="81"/>
      <c r="F55" s="81"/>
      <c r="G55" s="81"/>
      <c r="H55" s="81"/>
      <c r="I55" s="81"/>
      <c r="J55" s="81"/>
    </row>
    <row r="56" spans="1:10" ht="21" x14ac:dyDescent="0.35">
      <c r="A56" s="78">
        <v>2018</v>
      </c>
      <c r="B56" s="78"/>
      <c r="C56" s="78"/>
      <c r="D56" s="78"/>
      <c r="E56" s="78"/>
      <c r="F56" s="78"/>
      <c r="G56" s="78"/>
      <c r="H56" s="78"/>
      <c r="I56" s="78"/>
      <c r="J56" s="78"/>
    </row>
    <row r="57" spans="1:10" ht="15.75" x14ac:dyDescent="0.25">
      <c r="A57" s="5"/>
      <c r="B57" s="5"/>
      <c r="C57" s="29" t="s">
        <v>5</v>
      </c>
      <c r="D57" s="29" t="s">
        <v>6</v>
      </c>
      <c r="E57" s="29" t="s">
        <v>7</v>
      </c>
      <c r="F57" s="29" t="s">
        <v>8</v>
      </c>
      <c r="G57" s="29" t="s">
        <v>3</v>
      </c>
      <c r="H57" s="29" t="s">
        <v>4</v>
      </c>
      <c r="I57" s="29" t="s">
        <v>10</v>
      </c>
      <c r="J57" s="29" t="s">
        <v>11</v>
      </c>
    </row>
    <row r="58" spans="1:10" ht="15.75" x14ac:dyDescent="0.25">
      <c r="A58" s="77" t="s">
        <v>0</v>
      </c>
      <c r="B58" s="22" t="s">
        <v>1</v>
      </c>
      <c r="C58" s="7">
        <v>112635.37</v>
      </c>
      <c r="D58" s="7">
        <v>203964.33</v>
      </c>
      <c r="E58" s="7">
        <v>430709.38</v>
      </c>
      <c r="F58" s="7">
        <v>167900.69</v>
      </c>
      <c r="G58" s="7">
        <v>389240.82</v>
      </c>
      <c r="H58" s="7">
        <v>217886.23</v>
      </c>
      <c r="I58" s="7">
        <f>SUM(C58:H58)</f>
        <v>1522336.82</v>
      </c>
      <c r="J58" s="8">
        <f>I58/(4372355.26)</f>
        <v>0.34817317657760505</v>
      </c>
    </row>
    <row r="59" spans="1:10" ht="15.75" x14ac:dyDescent="0.25">
      <c r="A59" s="77"/>
      <c r="B59" s="22" t="s">
        <v>2</v>
      </c>
      <c r="C59" s="7">
        <v>2925.56</v>
      </c>
      <c r="D59" s="7">
        <v>10383.09</v>
      </c>
      <c r="E59" s="7">
        <v>40450.43</v>
      </c>
      <c r="F59" s="7">
        <v>21105.86</v>
      </c>
      <c r="G59" s="7">
        <v>21398.42</v>
      </c>
      <c r="H59" s="7">
        <v>9729.66</v>
      </c>
      <c r="I59" s="7">
        <f>SUM(C59:H59)</f>
        <v>105993.02</v>
      </c>
      <c r="J59" s="8">
        <f>I59/(437577.73)</f>
        <v>0.24222672392399863</v>
      </c>
    </row>
    <row r="60" spans="1:10" ht="15.75" x14ac:dyDescent="0.25">
      <c r="A60" s="30"/>
      <c r="B60" s="30"/>
      <c r="C60" s="10"/>
      <c r="D60" s="10"/>
      <c r="E60" s="10"/>
      <c r="F60" s="10"/>
      <c r="G60" s="10"/>
      <c r="H60" s="10"/>
      <c r="I60" s="10"/>
      <c r="J60" s="11"/>
    </row>
    <row r="61" spans="1:10" ht="15.75" x14ac:dyDescent="0.25">
      <c r="A61" s="77" t="s">
        <v>9</v>
      </c>
      <c r="B61" s="22" t="s">
        <v>1</v>
      </c>
      <c r="C61" s="7">
        <v>845998.33</v>
      </c>
      <c r="D61" s="7">
        <v>758084.37</v>
      </c>
      <c r="E61" s="7">
        <v>947401.04</v>
      </c>
      <c r="F61" s="7">
        <v>753907.9</v>
      </c>
      <c r="G61" s="7">
        <v>687908.37</v>
      </c>
      <c r="H61" s="7">
        <v>786555.3</v>
      </c>
      <c r="I61" s="7">
        <f>SUM(C61:H61)</f>
        <v>4779855.3100000005</v>
      </c>
      <c r="J61" s="8">
        <f>I61/(6805257.26)</f>
        <v>0.70237687237704816</v>
      </c>
    </row>
    <row r="62" spans="1:10" ht="15.75" x14ac:dyDescent="0.25">
      <c r="A62" s="77"/>
      <c r="B62" s="22" t="s">
        <v>2</v>
      </c>
      <c r="C62" s="7">
        <v>231313.59</v>
      </c>
      <c r="D62" s="7">
        <v>190602.08</v>
      </c>
      <c r="E62" s="7">
        <v>270178.99</v>
      </c>
      <c r="F62" s="7">
        <v>234078.04</v>
      </c>
      <c r="G62" s="7">
        <v>214339.12</v>
      </c>
      <c r="H62" s="7">
        <v>204466.42</v>
      </c>
      <c r="I62" s="7">
        <f>SUM(C62:H62)</f>
        <v>1344978.2399999998</v>
      </c>
      <c r="J62" s="8">
        <f>I62/(1731724.11)</f>
        <v>0.77667004359025738</v>
      </c>
    </row>
    <row r="63" spans="1:10" ht="15.75" x14ac:dyDescent="0.25">
      <c r="A63" s="43" t="s">
        <v>10</v>
      </c>
      <c r="B63" s="22"/>
      <c r="C63" s="28">
        <f>SUM(C58:C62)</f>
        <v>1192872.8500000001</v>
      </c>
      <c r="D63" s="28">
        <f t="shared" ref="D63" si="23">SUM(D58:D62)</f>
        <v>1163033.8700000001</v>
      </c>
      <c r="E63" s="28">
        <f t="shared" ref="E63" si="24">SUM(E58:E62)</f>
        <v>1688739.8400000001</v>
      </c>
      <c r="F63" s="28">
        <f t="shared" ref="F63" si="25">SUM(F58:F62)</f>
        <v>1176992.49</v>
      </c>
      <c r="G63" s="28">
        <f t="shared" ref="G63" si="26">SUM(G58:G62)</f>
        <v>1312886.73</v>
      </c>
      <c r="H63" s="28">
        <f t="shared" ref="H63" si="27">SUM(H58:H62)</f>
        <v>1218637.6100000001</v>
      </c>
      <c r="I63" s="28">
        <f t="shared" ref="I63" si="28">SUM(I58:I62)</f>
        <v>7753163.3900000006</v>
      </c>
      <c r="J63" s="8">
        <v>0.63942613748724741</v>
      </c>
    </row>
    <row r="64" spans="1:10" ht="21" x14ac:dyDescent="0.35">
      <c r="A64" s="78">
        <v>2019</v>
      </c>
      <c r="B64" s="78"/>
      <c r="C64" s="78"/>
      <c r="D64" s="78"/>
      <c r="E64" s="78"/>
      <c r="F64" s="78"/>
      <c r="G64" s="78"/>
      <c r="H64" s="78"/>
      <c r="I64" s="78"/>
      <c r="J64" s="78"/>
    </row>
    <row r="65" spans="1:10" ht="15.75" x14ac:dyDescent="0.25">
      <c r="A65" s="5"/>
      <c r="B65" s="5"/>
      <c r="C65" s="29" t="s">
        <v>5</v>
      </c>
      <c r="D65" s="29" t="s">
        <v>6</v>
      </c>
      <c r="E65" s="29" t="s">
        <v>7</v>
      </c>
      <c r="F65" s="29" t="s">
        <v>8</v>
      </c>
      <c r="G65" s="29" t="s">
        <v>3</v>
      </c>
      <c r="H65" s="29" t="s">
        <v>4</v>
      </c>
      <c r="I65" s="29" t="s">
        <v>10</v>
      </c>
      <c r="J65" s="29" t="s">
        <v>11</v>
      </c>
    </row>
    <row r="66" spans="1:10" ht="15.75" x14ac:dyDescent="0.25">
      <c r="A66" s="77" t="s">
        <v>0</v>
      </c>
      <c r="B66" s="22" t="s">
        <v>1</v>
      </c>
      <c r="C66" s="7">
        <v>111258.94</v>
      </c>
      <c r="D66" s="7">
        <v>205509.24</v>
      </c>
      <c r="E66" s="7">
        <v>80083.839999999997</v>
      </c>
      <c r="F66" s="7">
        <v>292908.08</v>
      </c>
      <c r="G66" s="7">
        <v>207690.46</v>
      </c>
      <c r="H66" s="7">
        <v>127785.62</v>
      </c>
      <c r="I66" s="7">
        <f>SUM(C66:H66)</f>
        <v>1025236.18</v>
      </c>
      <c r="J66" s="8">
        <f>I66/(3132957.16)</f>
        <v>0.32724232335178183</v>
      </c>
    </row>
    <row r="67" spans="1:10" ht="15.75" x14ac:dyDescent="0.25">
      <c r="A67" s="77"/>
      <c r="B67" s="22" t="s">
        <v>2</v>
      </c>
      <c r="C67" s="7">
        <v>8741.32</v>
      </c>
      <c r="D67" s="7">
        <v>15342.68</v>
      </c>
      <c r="E67" s="7">
        <v>11559.47</v>
      </c>
      <c r="F67" s="7">
        <v>30506.29</v>
      </c>
      <c r="G67" s="7">
        <v>5258.8</v>
      </c>
      <c r="H67" s="7">
        <v>9977.9699999999993</v>
      </c>
      <c r="I67" s="7">
        <f>SUM(C67:H67)</f>
        <v>81386.530000000013</v>
      </c>
      <c r="J67" s="8">
        <f>I67/(341371.17)</f>
        <v>0.23841067187952639</v>
      </c>
    </row>
    <row r="68" spans="1:10" ht="15.75" x14ac:dyDescent="0.25">
      <c r="A68" s="30"/>
      <c r="B68" s="30"/>
      <c r="C68" s="10"/>
      <c r="D68" s="10"/>
      <c r="E68" s="10"/>
      <c r="F68" s="10"/>
      <c r="G68" s="10"/>
      <c r="H68" s="10"/>
      <c r="I68" s="10"/>
      <c r="J68" s="11"/>
    </row>
    <row r="69" spans="1:10" ht="15.75" x14ac:dyDescent="0.25">
      <c r="A69" s="77" t="s">
        <v>9</v>
      </c>
      <c r="B69" s="22" t="s">
        <v>1</v>
      </c>
      <c r="C69" s="7">
        <v>781613.45</v>
      </c>
      <c r="D69" s="7">
        <v>841317.29</v>
      </c>
      <c r="E69" s="7">
        <v>741297.67</v>
      </c>
      <c r="F69" s="7">
        <v>923045.03</v>
      </c>
      <c r="G69" s="7">
        <v>865307.37</v>
      </c>
      <c r="H69" s="7">
        <v>557685.07999999996</v>
      </c>
      <c r="I69" s="7">
        <f>SUM(C69:H69)</f>
        <v>4710265.8900000006</v>
      </c>
      <c r="J69" s="8">
        <f>I69/(6951094.11)</f>
        <v>0.67762942285930294</v>
      </c>
    </row>
    <row r="70" spans="1:10" ht="15.75" x14ac:dyDescent="0.25">
      <c r="A70" s="77"/>
      <c r="B70" s="22" t="s">
        <v>2</v>
      </c>
      <c r="C70" s="7">
        <v>233363.35</v>
      </c>
      <c r="D70" s="7">
        <v>245589.14</v>
      </c>
      <c r="E70" s="7">
        <v>222513.54</v>
      </c>
      <c r="F70" s="7">
        <v>286633.26</v>
      </c>
      <c r="G70" s="7">
        <v>251495.86</v>
      </c>
      <c r="H70" s="7">
        <v>149285.06</v>
      </c>
      <c r="I70" s="7">
        <f>SUM(C70:H70)</f>
        <v>1388880.21</v>
      </c>
      <c r="J70" s="8">
        <f>I70/(1755065.51)</f>
        <v>0.79135519562457812</v>
      </c>
    </row>
    <row r="71" spans="1:10" ht="15.75" x14ac:dyDescent="0.25">
      <c r="A71" s="43" t="s">
        <v>10</v>
      </c>
      <c r="B71" s="22"/>
      <c r="C71" s="28">
        <f>SUM(C66:C70)</f>
        <v>1134977.06</v>
      </c>
      <c r="D71" s="28">
        <f t="shared" ref="D71" si="29">SUM(D66:D70)</f>
        <v>1307758.3500000001</v>
      </c>
      <c r="E71" s="28">
        <f t="shared" ref="E71" si="30">SUM(E66:E70)</f>
        <v>1055454.52</v>
      </c>
      <c r="F71" s="28">
        <f t="shared" ref="F71" si="31">SUM(F66:F70)</f>
        <v>1533092.66</v>
      </c>
      <c r="G71" s="28">
        <f t="shared" ref="G71" si="32">SUM(G66:G70)</f>
        <v>1329752.4899999998</v>
      </c>
      <c r="H71" s="28">
        <f t="shared" ref="H71" si="33">SUM(H66:H70)</f>
        <v>844733.73</v>
      </c>
      <c r="I71" s="28">
        <f t="shared" ref="I71" si="34">SUM(I66:I70)</f>
        <v>7205768.8100000005</v>
      </c>
      <c r="J71" s="8">
        <v>0.64473570220815402</v>
      </c>
    </row>
    <row r="72" spans="1:10" x14ac:dyDescent="0.25">
      <c r="A72" s="88"/>
      <c r="B72" s="88"/>
      <c r="C72" s="88"/>
      <c r="D72" s="88"/>
      <c r="E72" s="88"/>
      <c r="F72" s="88"/>
      <c r="G72" s="88"/>
      <c r="H72" s="88"/>
      <c r="I72" s="88"/>
      <c r="J72" s="88"/>
    </row>
    <row r="73" spans="1:10" ht="23.25" x14ac:dyDescent="0.35">
      <c r="A73" s="81" t="s">
        <v>144</v>
      </c>
      <c r="B73" s="81"/>
      <c r="C73" s="81"/>
      <c r="D73" s="81"/>
      <c r="E73" s="81"/>
      <c r="F73" s="81"/>
      <c r="G73" s="81"/>
      <c r="H73" s="81"/>
      <c r="I73" s="81"/>
      <c r="J73" s="81"/>
    </row>
    <row r="74" spans="1:10" ht="21" x14ac:dyDescent="0.35">
      <c r="A74" s="78">
        <v>2018</v>
      </c>
      <c r="B74" s="78"/>
      <c r="C74" s="78"/>
      <c r="D74" s="78"/>
      <c r="E74" s="78"/>
      <c r="F74" s="78"/>
      <c r="G74" s="78"/>
      <c r="H74" s="78"/>
      <c r="I74" s="78"/>
      <c r="J74" s="78"/>
    </row>
    <row r="75" spans="1:10" ht="15.75" x14ac:dyDescent="0.25">
      <c r="A75" s="5"/>
      <c r="B75" s="5"/>
      <c r="C75" s="29" t="s">
        <v>5</v>
      </c>
      <c r="D75" s="29" t="s">
        <v>6</v>
      </c>
      <c r="E75" s="29" t="s">
        <v>7</v>
      </c>
      <c r="F75" s="29" t="s">
        <v>8</v>
      </c>
      <c r="G75" s="29" t="s">
        <v>3</v>
      </c>
      <c r="H75" s="29" t="s">
        <v>4</v>
      </c>
      <c r="I75" s="29" t="s">
        <v>10</v>
      </c>
      <c r="J75" s="29" t="s">
        <v>11</v>
      </c>
    </row>
    <row r="76" spans="1:10" ht="15.75" x14ac:dyDescent="0.25">
      <c r="A76" s="77" t="s">
        <v>0</v>
      </c>
      <c r="B76" s="22" t="s">
        <v>1</v>
      </c>
      <c r="C76" s="47" t="s">
        <v>169</v>
      </c>
      <c r="D76" s="47" t="s">
        <v>169</v>
      </c>
      <c r="E76" s="47" t="s">
        <v>169</v>
      </c>
      <c r="F76" s="47" t="s">
        <v>169</v>
      </c>
      <c r="G76" s="45">
        <v>11</v>
      </c>
      <c r="H76" s="47" t="s">
        <v>169</v>
      </c>
      <c r="I76" s="45">
        <v>36</v>
      </c>
      <c r="J76" s="8">
        <v>0.25714285714285712</v>
      </c>
    </row>
    <row r="77" spans="1:10" ht="15.75" x14ac:dyDescent="0.25">
      <c r="A77" s="77"/>
      <c r="B77" s="22" t="s">
        <v>2</v>
      </c>
      <c r="C77" s="47" t="s">
        <v>169</v>
      </c>
      <c r="D77" s="47" t="s">
        <v>169</v>
      </c>
      <c r="E77" s="47" t="s">
        <v>169</v>
      </c>
      <c r="F77" s="47" t="s">
        <v>169</v>
      </c>
      <c r="G77" s="45">
        <v>31</v>
      </c>
      <c r="H77" s="47" t="s">
        <v>169</v>
      </c>
      <c r="I77" s="45">
        <v>110</v>
      </c>
      <c r="J77" s="8">
        <v>0.24175824175824176</v>
      </c>
    </row>
    <row r="78" spans="1:10" ht="15.75" x14ac:dyDescent="0.25">
      <c r="A78" s="30"/>
      <c r="B78" s="30"/>
      <c r="C78" s="11"/>
      <c r="D78" s="11"/>
      <c r="E78" s="11"/>
      <c r="F78" s="11"/>
      <c r="G78" s="11"/>
      <c r="H78" s="11"/>
      <c r="I78" s="11"/>
      <c r="J78" s="11"/>
    </row>
    <row r="79" spans="1:10" ht="15.75" x14ac:dyDescent="0.25">
      <c r="A79" s="77" t="s">
        <v>9</v>
      </c>
      <c r="B79" s="22" t="s">
        <v>1</v>
      </c>
      <c r="C79" s="45">
        <v>423</v>
      </c>
      <c r="D79" s="45">
        <v>386</v>
      </c>
      <c r="E79" s="45">
        <v>455</v>
      </c>
      <c r="F79" s="45">
        <v>384</v>
      </c>
      <c r="G79" s="45">
        <v>395</v>
      </c>
      <c r="H79" s="45">
        <v>366</v>
      </c>
      <c r="I79" s="45">
        <v>2409</v>
      </c>
      <c r="J79" s="8">
        <v>0.15094930760072686</v>
      </c>
    </row>
    <row r="80" spans="1:10" ht="15.75" x14ac:dyDescent="0.25">
      <c r="A80" s="77"/>
      <c r="B80" s="22" t="s">
        <v>2</v>
      </c>
      <c r="C80" s="45">
        <v>527</v>
      </c>
      <c r="D80" s="45">
        <v>442</v>
      </c>
      <c r="E80" s="45">
        <v>582</v>
      </c>
      <c r="F80" s="45">
        <v>459</v>
      </c>
      <c r="G80" s="45">
        <v>475</v>
      </c>
      <c r="H80" s="45">
        <v>422</v>
      </c>
      <c r="I80" s="45">
        <v>2907</v>
      </c>
      <c r="J80" s="8">
        <v>0.68674698795180722</v>
      </c>
    </row>
    <row r="81" spans="1:10" ht="15.75" x14ac:dyDescent="0.25">
      <c r="A81" s="43" t="s">
        <v>10</v>
      </c>
      <c r="B81" s="22"/>
      <c r="C81" s="46">
        <v>965</v>
      </c>
      <c r="D81" s="46">
        <v>843</v>
      </c>
      <c r="E81" s="46">
        <v>1081</v>
      </c>
      <c r="F81" s="46">
        <v>855</v>
      </c>
      <c r="G81" s="46">
        <v>912</v>
      </c>
      <c r="H81" s="46">
        <v>806</v>
      </c>
      <c r="I81" s="46">
        <v>5462</v>
      </c>
      <c r="J81" s="8">
        <v>0.43864169268337677</v>
      </c>
    </row>
    <row r="82" spans="1:10" ht="21" x14ac:dyDescent="0.35">
      <c r="A82" s="78">
        <v>2019</v>
      </c>
      <c r="B82" s="78"/>
      <c r="C82" s="78"/>
      <c r="D82" s="78"/>
      <c r="E82" s="78"/>
      <c r="F82" s="78"/>
      <c r="G82" s="78"/>
      <c r="H82" s="78"/>
      <c r="I82" s="78"/>
      <c r="J82" s="78"/>
    </row>
    <row r="83" spans="1:10" ht="15.75" x14ac:dyDescent="0.25">
      <c r="A83" s="5"/>
      <c r="B83" s="5"/>
      <c r="C83" s="29" t="s">
        <v>5</v>
      </c>
      <c r="D83" s="29" t="s">
        <v>6</v>
      </c>
      <c r="E83" s="29" t="s">
        <v>7</v>
      </c>
      <c r="F83" s="29" t="s">
        <v>8</v>
      </c>
      <c r="G83" s="29" t="s">
        <v>3</v>
      </c>
      <c r="H83" s="29" t="s">
        <v>4</v>
      </c>
      <c r="I83" s="29" t="s">
        <v>10</v>
      </c>
      <c r="J83" s="29" t="s">
        <v>11</v>
      </c>
    </row>
    <row r="84" spans="1:10" ht="15.75" x14ac:dyDescent="0.25">
      <c r="A84" s="77" t="s">
        <v>0</v>
      </c>
      <c r="B84" s="22" t="s">
        <v>1</v>
      </c>
      <c r="C84" s="47" t="s">
        <v>169</v>
      </c>
      <c r="D84" s="47" t="s">
        <v>169</v>
      </c>
      <c r="E84" s="47" t="s">
        <v>169</v>
      </c>
      <c r="F84" s="47" t="s">
        <v>169</v>
      </c>
      <c r="G84" s="47" t="s">
        <v>169</v>
      </c>
      <c r="H84" s="47" t="s">
        <v>169</v>
      </c>
      <c r="I84" s="45">
        <v>19</v>
      </c>
      <c r="J84" s="8">
        <v>0.17757009345794392</v>
      </c>
    </row>
    <row r="85" spans="1:10" ht="15.75" x14ac:dyDescent="0.25">
      <c r="A85" s="77"/>
      <c r="B85" s="22" t="s">
        <v>2</v>
      </c>
      <c r="C85" s="47" t="s">
        <v>169</v>
      </c>
      <c r="D85" s="47" t="s">
        <v>169</v>
      </c>
      <c r="E85" s="47" t="s">
        <v>169</v>
      </c>
      <c r="F85" s="47" t="s">
        <v>169</v>
      </c>
      <c r="G85" s="47" t="s">
        <v>169</v>
      </c>
      <c r="H85" s="47" t="s">
        <v>169</v>
      </c>
      <c r="I85" s="45">
        <v>67</v>
      </c>
      <c r="J85" s="8">
        <v>0.18980169971671387</v>
      </c>
    </row>
    <row r="86" spans="1:10" ht="15.75" x14ac:dyDescent="0.25">
      <c r="A86" s="30"/>
      <c r="B86" s="30"/>
      <c r="C86" s="11"/>
      <c r="D86" s="11"/>
      <c r="E86" s="11"/>
      <c r="F86" s="11"/>
      <c r="G86" s="11"/>
      <c r="H86" s="11"/>
      <c r="I86" s="11"/>
      <c r="J86" s="8"/>
    </row>
    <row r="87" spans="1:10" ht="15.75" x14ac:dyDescent="0.25">
      <c r="A87" s="77" t="s">
        <v>9</v>
      </c>
      <c r="B87" s="22" t="s">
        <v>1</v>
      </c>
      <c r="C87" s="45">
        <v>326</v>
      </c>
      <c r="D87" s="45">
        <v>329</v>
      </c>
      <c r="E87" s="45">
        <v>266</v>
      </c>
      <c r="F87" s="45">
        <v>389</v>
      </c>
      <c r="G87" s="45">
        <v>302</v>
      </c>
      <c r="H87" s="45">
        <v>256</v>
      </c>
      <c r="I87" s="45">
        <v>1868</v>
      </c>
      <c r="J87" s="8">
        <v>0.15798376184032475</v>
      </c>
    </row>
    <row r="88" spans="1:10" ht="15.75" x14ac:dyDescent="0.25">
      <c r="A88" s="77"/>
      <c r="B88" s="22" t="s">
        <v>2</v>
      </c>
      <c r="C88" s="45">
        <v>495</v>
      </c>
      <c r="D88" s="45">
        <v>462</v>
      </c>
      <c r="E88" s="45">
        <v>405</v>
      </c>
      <c r="F88" s="45">
        <v>566</v>
      </c>
      <c r="G88" s="45">
        <v>436</v>
      </c>
      <c r="H88" s="45">
        <v>343</v>
      </c>
      <c r="I88" s="45">
        <v>2707</v>
      </c>
      <c r="J88" s="8">
        <v>0.67725794345759316</v>
      </c>
    </row>
    <row r="89" spans="1:10" ht="15.75" x14ac:dyDescent="0.25">
      <c r="A89" s="43" t="s">
        <v>10</v>
      </c>
      <c r="B89" s="22"/>
      <c r="C89" s="46">
        <v>837</v>
      </c>
      <c r="D89" s="46">
        <v>803</v>
      </c>
      <c r="E89" s="46">
        <v>675</v>
      </c>
      <c r="F89" s="46">
        <v>970</v>
      </c>
      <c r="G89" s="46">
        <v>758</v>
      </c>
      <c r="H89" s="46">
        <v>618</v>
      </c>
      <c r="I89" s="46">
        <v>4661</v>
      </c>
      <c r="J89" s="8">
        <v>0.46010329665611505</v>
      </c>
    </row>
    <row r="90" spans="1:10" ht="23.25" x14ac:dyDescent="0.35">
      <c r="A90" s="81" t="s">
        <v>146</v>
      </c>
      <c r="B90" s="81"/>
      <c r="C90" s="81"/>
      <c r="D90" s="81"/>
      <c r="E90" s="81"/>
      <c r="F90" s="81"/>
      <c r="G90" s="81"/>
      <c r="H90" s="81"/>
      <c r="I90" s="81"/>
      <c r="J90" s="81"/>
    </row>
    <row r="91" spans="1:10" ht="21" x14ac:dyDescent="0.35">
      <c r="A91" s="78">
        <v>2018</v>
      </c>
      <c r="B91" s="78"/>
      <c r="C91" s="78"/>
      <c r="D91" s="78"/>
      <c r="E91" s="78"/>
      <c r="F91" s="78"/>
      <c r="G91" s="78"/>
      <c r="H91" s="78"/>
      <c r="I91" s="78"/>
      <c r="J91" s="78"/>
    </row>
    <row r="92" spans="1:10" ht="15.75" x14ac:dyDescent="0.25">
      <c r="A92" s="5"/>
      <c r="B92" s="5"/>
      <c r="C92" s="29" t="s">
        <v>5</v>
      </c>
      <c r="D92" s="29" t="s">
        <v>6</v>
      </c>
      <c r="E92" s="29" t="s">
        <v>7</v>
      </c>
      <c r="F92" s="29" t="s">
        <v>8</v>
      </c>
      <c r="G92" s="29" t="s">
        <v>3</v>
      </c>
      <c r="H92" s="29" t="s">
        <v>4</v>
      </c>
      <c r="I92" s="29" t="s">
        <v>10</v>
      </c>
      <c r="J92" s="29" t="s">
        <v>11</v>
      </c>
    </row>
    <row r="93" spans="1:10" ht="15.75" x14ac:dyDescent="0.25">
      <c r="A93" s="77" t="s">
        <v>0</v>
      </c>
      <c r="B93" s="22" t="s">
        <v>1</v>
      </c>
      <c r="C93" s="47" t="s">
        <v>169</v>
      </c>
      <c r="D93" s="47" t="s">
        <v>169</v>
      </c>
      <c r="E93" s="47" t="s">
        <v>169</v>
      </c>
      <c r="F93" s="47" t="s">
        <v>169</v>
      </c>
      <c r="G93" s="45">
        <v>12</v>
      </c>
      <c r="H93" s="47" t="s">
        <v>169</v>
      </c>
      <c r="I93" s="45">
        <v>39</v>
      </c>
      <c r="J93" s="8">
        <v>0.27857142857142858</v>
      </c>
    </row>
    <row r="94" spans="1:10" ht="15.75" x14ac:dyDescent="0.25">
      <c r="A94" s="77"/>
      <c r="B94" s="22" t="s">
        <v>2</v>
      </c>
      <c r="C94" s="47" t="s">
        <v>169</v>
      </c>
      <c r="D94" s="47" t="s">
        <v>169</v>
      </c>
      <c r="E94" s="47" t="s">
        <v>169</v>
      </c>
      <c r="F94" s="47" t="s">
        <v>169</v>
      </c>
      <c r="G94" s="45">
        <v>35</v>
      </c>
      <c r="H94" s="47" t="s">
        <v>169</v>
      </c>
      <c r="I94" s="45">
        <v>126</v>
      </c>
      <c r="J94" s="8">
        <v>0.27692307692307694</v>
      </c>
    </row>
    <row r="95" spans="1:10" ht="15.75" x14ac:dyDescent="0.25">
      <c r="A95" s="30"/>
      <c r="B95" s="30"/>
      <c r="C95" s="11"/>
      <c r="D95" s="11"/>
      <c r="E95" s="11"/>
      <c r="F95" s="11"/>
      <c r="G95" s="11"/>
      <c r="H95" s="11"/>
      <c r="I95" s="11"/>
      <c r="J95" s="8"/>
    </row>
    <row r="96" spans="1:10" ht="15.75" x14ac:dyDescent="0.25">
      <c r="A96" s="77" t="s">
        <v>9</v>
      </c>
      <c r="B96" s="22" t="s">
        <v>1</v>
      </c>
      <c r="C96" s="45">
        <v>460</v>
      </c>
      <c r="D96" s="45">
        <v>403</v>
      </c>
      <c r="E96" s="45">
        <v>484</v>
      </c>
      <c r="F96" s="45">
        <v>399</v>
      </c>
      <c r="G96" s="45">
        <v>421</v>
      </c>
      <c r="H96" s="45">
        <v>389</v>
      </c>
      <c r="I96" s="45">
        <v>2556</v>
      </c>
      <c r="J96" s="8">
        <v>0.16016041105332415</v>
      </c>
    </row>
    <row r="97" spans="1:10" ht="15.75" x14ac:dyDescent="0.25">
      <c r="A97" s="77"/>
      <c r="B97" s="22" t="s">
        <v>2</v>
      </c>
      <c r="C97" s="45">
        <v>562</v>
      </c>
      <c r="D97" s="45">
        <v>469</v>
      </c>
      <c r="E97" s="45">
        <v>610</v>
      </c>
      <c r="F97" s="45">
        <v>486</v>
      </c>
      <c r="G97" s="45">
        <v>500</v>
      </c>
      <c r="H97" s="45">
        <v>452</v>
      </c>
      <c r="I97" s="45">
        <v>3079</v>
      </c>
      <c r="J97" s="8">
        <v>0.72738010866997405</v>
      </c>
    </row>
    <row r="98" spans="1:10" ht="15.75" x14ac:dyDescent="0.25">
      <c r="A98" s="43" t="s">
        <v>10</v>
      </c>
      <c r="B98" s="22"/>
      <c r="C98" s="46">
        <v>1037</v>
      </c>
      <c r="D98" s="46">
        <v>887</v>
      </c>
      <c r="E98" s="46">
        <v>1138</v>
      </c>
      <c r="F98" s="46">
        <v>902</v>
      </c>
      <c r="G98" s="46">
        <v>968</v>
      </c>
      <c r="H98" s="46">
        <v>868</v>
      </c>
      <c r="I98" s="46">
        <v>5800</v>
      </c>
      <c r="J98" s="8">
        <v>0.46460861356098959</v>
      </c>
    </row>
    <row r="99" spans="1:10" ht="21" x14ac:dyDescent="0.35">
      <c r="A99" s="78">
        <v>2019</v>
      </c>
      <c r="B99" s="78"/>
      <c r="C99" s="78"/>
      <c r="D99" s="78"/>
      <c r="E99" s="78"/>
      <c r="F99" s="78"/>
      <c r="G99" s="78"/>
      <c r="H99" s="78"/>
      <c r="I99" s="78"/>
      <c r="J99" s="78"/>
    </row>
    <row r="100" spans="1:10" ht="15.75" x14ac:dyDescent="0.25">
      <c r="A100" s="5"/>
      <c r="B100" s="5"/>
      <c r="C100" s="29" t="s">
        <v>5</v>
      </c>
      <c r="D100" s="29" t="s">
        <v>6</v>
      </c>
      <c r="E100" s="29" t="s">
        <v>7</v>
      </c>
      <c r="F100" s="29" t="s">
        <v>8</v>
      </c>
      <c r="G100" s="29" t="s">
        <v>3</v>
      </c>
      <c r="H100" s="29" t="s">
        <v>4</v>
      </c>
      <c r="I100" s="29" t="s">
        <v>10</v>
      </c>
      <c r="J100" s="29" t="s">
        <v>11</v>
      </c>
    </row>
    <row r="101" spans="1:10" ht="15.75" x14ac:dyDescent="0.25">
      <c r="A101" s="77" t="s">
        <v>0</v>
      </c>
      <c r="B101" s="22" t="s">
        <v>1</v>
      </c>
      <c r="C101" s="47" t="s">
        <v>169</v>
      </c>
      <c r="D101" s="47" t="s">
        <v>169</v>
      </c>
      <c r="E101" s="47" t="s">
        <v>169</v>
      </c>
      <c r="F101" s="47" t="s">
        <v>169</v>
      </c>
      <c r="G101" s="47" t="s">
        <v>169</v>
      </c>
      <c r="H101" s="47" t="s">
        <v>169</v>
      </c>
      <c r="I101" s="45">
        <v>23</v>
      </c>
      <c r="J101" s="8">
        <v>0.21495327102803738</v>
      </c>
    </row>
    <row r="102" spans="1:10" ht="15.75" x14ac:dyDescent="0.25">
      <c r="A102" s="77"/>
      <c r="B102" s="22" t="s">
        <v>2</v>
      </c>
      <c r="C102" s="47" t="s">
        <v>169</v>
      </c>
      <c r="D102" s="47" t="s">
        <v>169</v>
      </c>
      <c r="E102" s="47" t="s">
        <v>169</v>
      </c>
      <c r="F102" s="47" t="s">
        <v>169</v>
      </c>
      <c r="G102" s="47" t="s">
        <v>169</v>
      </c>
      <c r="H102" s="47" t="s">
        <v>169</v>
      </c>
      <c r="I102" s="45">
        <v>78</v>
      </c>
      <c r="J102" s="8">
        <v>0.22096317280453256</v>
      </c>
    </row>
    <row r="103" spans="1:10" ht="15.75" x14ac:dyDescent="0.25">
      <c r="A103" s="30"/>
      <c r="B103" s="30"/>
      <c r="C103" s="11"/>
      <c r="D103" s="11"/>
      <c r="E103" s="11"/>
      <c r="F103" s="11"/>
      <c r="G103" s="11"/>
      <c r="H103" s="11"/>
      <c r="I103" s="11"/>
      <c r="J103" s="8"/>
    </row>
    <row r="104" spans="1:10" ht="15.75" x14ac:dyDescent="0.25">
      <c r="A104" s="77" t="s">
        <v>9</v>
      </c>
      <c r="B104" s="22" t="s">
        <v>1</v>
      </c>
      <c r="C104" s="45">
        <v>355</v>
      </c>
      <c r="D104" s="45">
        <v>351</v>
      </c>
      <c r="E104" s="45">
        <v>286</v>
      </c>
      <c r="F104" s="45">
        <v>407</v>
      </c>
      <c r="G104" s="45">
        <v>321</v>
      </c>
      <c r="H104" s="45">
        <v>267</v>
      </c>
      <c r="I104" s="45">
        <v>1987</v>
      </c>
      <c r="J104" s="8">
        <v>0.16804803788903924</v>
      </c>
    </row>
    <row r="105" spans="1:10" ht="15.75" x14ac:dyDescent="0.25">
      <c r="A105" s="77"/>
      <c r="B105" s="22" t="s">
        <v>2</v>
      </c>
      <c r="C105" s="45">
        <v>543</v>
      </c>
      <c r="D105" s="45">
        <v>495</v>
      </c>
      <c r="E105" s="45">
        <v>439</v>
      </c>
      <c r="F105" s="45">
        <v>601</v>
      </c>
      <c r="G105" s="45">
        <v>467</v>
      </c>
      <c r="H105" s="45">
        <v>360</v>
      </c>
      <c r="I105" s="45">
        <v>2905</v>
      </c>
      <c r="J105" s="8">
        <v>0.72679509632224171</v>
      </c>
    </row>
    <row r="106" spans="1:10" ht="15.75" x14ac:dyDescent="0.25">
      <c r="A106" s="43" t="s">
        <v>10</v>
      </c>
      <c r="B106" s="22"/>
      <c r="C106" s="46">
        <v>914</v>
      </c>
      <c r="D106" s="46">
        <v>861</v>
      </c>
      <c r="E106" s="46">
        <v>733</v>
      </c>
      <c r="F106" s="46">
        <v>1030</v>
      </c>
      <c r="G106" s="46">
        <v>809</v>
      </c>
      <c r="H106" s="46">
        <v>646</v>
      </c>
      <c r="I106" s="46">
        <v>4993</v>
      </c>
      <c r="J106" s="8">
        <v>0.49417790082395979</v>
      </c>
    </row>
  </sheetData>
  <mergeCells count="43">
    <mergeCell ref="A29:J29"/>
    <mergeCell ref="A64:J64"/>
    <mergeCell ref="A99:J99"/>
    <mergeCell ref="C1:J1"/>
    <mergeCell ref="A2:J2"/>
    <mergeCell ref="A4:J4"/>
    <mergeCell ref="A39:J39"/>
    <mergeCell ref="A74:J74"/>
    <mergeCell ref="A3:J3"/>
    <mergeCell ref="A38:J38"/>
    <mergeCell ref="A73:J73"/>
    <mergeCell ref="A6:A7"/>
    <mergeCell ref="A76:A77"/>
    <mergeCell ref="A9:A10"/>
    <mergeCell ref="A44:A45"/>
    <mergeCell ref="A79:A80"/>
    <mergeCell ref="A14:A15"/>
    <mergeCell ref="A49:A50"/>
    <mergeCell ref="A84:A85"/>
    <mergeCell ref="A12:J12"/>
    <mergeCell ref="A47:J47"/>
    <mergeCell ref="A82:J82"/>
    <mergeCell ref="A17:A18"/>
    <mergeCell ref="A52:A53"/>
    <mergeCell ref="A87:A88"/>
    <mergeCell ref="A20:J20"/>
    <mergeCell ref="A55:J55"/>
    <mergeCell ref="A90:J90"/>
    <mergeCell ref="A21:J21"/>
    <mergeCell ref="A56:J56"/>
    <mergeCell ref="A91:J91"/>
    <mergeCell ref="A26:A27"/>
    <mergeCell ref="A61:A62"/>
    <mergeCell ref="A96:A97"/>
    <mergeCell ref="A23:A24"/>
    <mergeCell ref="A58:A59"/>
    <mergeCell ref="A93:A94"/>
    <mergeCell ref="A34:A35"/>
    <mergeCell ref="A69:A70"/>
    <mergeCell ref="A104:A105"/>
    <mergeCell ref="A31:A32"/>
    <mergeCell ref="A66:A67"/>
    <mergeCell ref="A101:A102"/>
  </mergeCells>
  <pageMargins left="0.7" right="0.7" top="0.75" bottom="0.75" header="0.3" footer="0.3"/>
  <pageSetup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 and Results</vt:lpstr>
      <vt:lpstr>Methodology</vt:lpstr>
      <vt:lpstr>Services by Category</vt:lpstr>
      <vt:lpstr>Results not incl CAH</vt:lpstr>
      <vt:lpstr>Results Critical Access only</vt:lpstr>
      <vt:lpstr>'Results not incl CAH'!Print_Area</vt:lpstr>
    </vt:vector>
  </TitlesOfParts>
  <Company>NORC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Oberg</dc:creator>
  <cp:lastModifiedBy>Rachel Linn</cp:lastModifiedBy>
  <cp:lastPrinted>2020-05-19T23:46:03Z</cp:lastPrinted>
  <dcterms:created xsi:type="dcterms:W3CDTF">2020-04-23T15:33:43Z</dcterms:created>
  <dcterms:modified xsi:type="dcterms:W3CDTF">2020-05-19T23:46:07Z</dcterms:modified>
</cp:coreProperties>
</file>